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codeName="{99F03F65-6EE5-B2FF-AC1D-F4DDD12603F5}"/>
  <workbookPr codeName="ThisWorkbook" defaultThemeVersion="166925"/>
  <mc:AlternateContent xmlns:mc="http://schemas.openxmlformats.org/markup-compatibility/2006">
    <mc:Choice Requires="x15">
      <x15ac:absPath xmlns:x15ac="http://schemas.microsoft.com/office/spreadsheetml/2010/11/ac" url="C:\Users\sudu\Downloads\"/>
    </mc:Choice>
  </mc:AlternateContent>
  <xr:revisionPtr revIDLastSave="0" documentId="13_ncr:1_{1F122CD0-EBE3-4E24-B096-34A3077A6047}" xr6:coauthVersionLast="44" xr6:coauthVersionMax="44" xr10:uidLastSave="{00000000-0000-0000-0000-000000000000}"/>
  <bookViews>
    <workbookView xWindow="-110" yWindow="-110" windowWidth="19420" windowHeight="10420" tabRatio="524" activeTab="1" xr2:uid="{00000000-000D-0000-FFFF-FFFF00000000}"/>
  </bookViews>
  <sheets>
    <sheet name="LCC" sheetId="7" r:id="rId1"/>
    <sheet name="byte cirkulationspump" sheetId="12" r:id="rId2"/>
    <sheet name="Förklaringar" sheetId="1" r:id="rId3"/>
  </sheets>
  <definedNames>
    <definedName name="_xlnm.Print_Area" localSheetId="1">'byte cirkulationspump'!$A$1:$K$166</definedName>
    <definedName name="_xlnm.Print_Area" localSheetId="0">LCC!$A$1:$K$163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12" l="1"/>
  <c r="I8" i="12" l="1"/>
  <c r="C31" i="12" s="1"/>
  <c r="I6" i="12"/>
  <c r="I9" i="12" l="1"/>
  <c r="I10" i="12" s="1"/>
  <c r="D31" i="12"/>
  <c r="V206" i="12"/>
  <c r="U206" i="12"/>
  <c r="T206" i="12"/>
  <c r="S206" i="12"/>
  <c r="R206" i="12"/>
  <c r="Q206" i="12"/>
  <c r="P206" i="12"/>
  <c r="O206" i="12"/>
  <c r="V205" i="12"/>
  <c r="U205" i="12"/>
  <c r="T205" i="12"/>
  <c r="S205" i="12"/>
  <c r="R205" i="12"/>
  <c r="Q205" i="12"/>
  <c r="P205" i="12"/>
  <c r="O205" i="12"/>
  <c r="V204" i="12"/>
  <c r="U204" i="12"/>
  <c r="T204" i="12"/>
  <c r="S204" i="12"/>
  <c r="R204" i="12"/>
  <c r="Q204" i="12"/>
  <c r="P204" i="12"/>
  <c r="O204" i="12"/>
  <c r="V203" i="12"/>
  <c r="U203" i="12"/>
  <c r="T203" i="12"/>
  <c r="S203" i="12"/>
  <c r="R203" i="12"/>
  <c r="Q203" i="12"/>
  <c r="P203" i="12"/>
  <c r="O203" i="12"/>
  <c r="V202" i="12"/>
  <c r="U202" i="12"/>
  <c r="T202" i="12"/>
  <c r="S202" i="12"/>
  <c r="R202" i="12"/>
  <c r="Q202" i="12"/>
  <c r="P202" i="12"/>
  <c r="O202" i="12"/>
  <c r="V201" i="12"/>
  <c r="U201" i="12"/>
  <c r="T201" i="12"/>
  <c r="S201" i="12"/>
  <c r="R201" i="12"/>
  <c r="Q201" i="12"/>
  <c r="P201" i="12"/>
  <c r="O201" i="12"/>
  <c r="V200" i="12"/>
  <c r="U200" i="12"/>
  <c r="T200" i="12"/>
  <c r="S200" i="12"/>
  <c r="R200" i="12"/>
  <c r="Q200" i="12"/>
  <c r="P200" i="12"/>
  <c r="O200" i="12"/>
  <c r="V199" i="12"/>
  <c r="U199" i="12"/>
  <c r="T199" i="12"/>
  <c r="S199" i="12"/>
  <c r="R199" i="12"/>
  <c r="Q199" i="12"/>
  <c r="P199" i="12"/>
  <c r="O199" i="12"/>
  <c r="V198" i="12"/>
  <c r="U198" i="12"/>
  <c r="T198" i="12"/>
  <c r="S198" i="12"/>
  <c r="R198" i="12"/>
  <c r="Q198" i="12"/>
  <c r="P198" i="12"/>
  <c r="O198" i="12"/>
  <c r="V197" i="12"/>
  <c r="U197" i="12"/>
  <c r="T197" i="12"/>
  <c r="S197" i="12"/>
  <c r="R197" i="12"/>
  <c r="Q197" i="12"/>
  <c r="P197" i="12"/>
  <c r="O197" i="12"/>
  <c r="V196" i="12"/>
  <c r="U196" i="12"/>
  <c r="T196" i="12"/>
  <c r="S196" i="12"/>
  <c r="R196" i="12"/>
  <c r="Q196" i="12"/>
  <c r="P196" i="12"/>
  <c r="O196" i="12"/>
  <c r="V195" i="12"/>
  <c r="U195" i="12"/>
  <c r="T195" i="12"/>
  <c r="S195" i="12"/>
  <c r="R195" i="12"/>
  <c r="Q195" i="12"/>
  <c r="P195" i="12"/>
  <c r="O195" i="12"/>
  <c r="V194" i="12"/>
  <c r="U194" i="12"/>
  <c r="T194" i="12"/>
  <c r="S194" i="12"/>
  <c r="R194" i="12"/>
  <c r="Q194" i="12"/>
  <c r="P194" i="12"/>
  <c r="O194" i="12"/>
  <c r="V193" i="12"/>
  <c r="U193" i="12"/>
  <c r="T193" i="12"/>
  <c r="S193" i="12"/>
  <c r="R193" i="12"/>
  <c r="Q193" i="12"/>
  <c r="P193" i="12"/>
  <c r="O193" i="12"/>
  <c r="V192" i="12"/>
  <c r="U192" i="12"/>
  <c r="T192" i="12"/>
  <c r="S192" i="12"/>
  <c r="R192" i="12"/>
  <c r="Q192" i="12"/>
  <c r="P192" i="12"/>
  <c r="O192" i="12"/>
  <c r="V191" i="12"/>
  <c r="U191" i="12"/>
  <c r="T191" i="12"/>
  <c r="S191" i="12"/>
  <c r="R191" i="12"/>
  <c r="Q191" i="12"/>
  <c r="P191" i="12"/>
  <c r="O191" i="12"/>
  <c r="V190" i="12"/>
  <c r="U190" i="12"/>
  <c r="T190" i="12"/>
  <c r="S190" i="12"/>
  <c r="R190" i="12"/>
  <c r="Q190" i="12"/>
  <c r="P190" i="12"/>
  <c r="O190" i="12"/>
  <c r="V189" i="12"/>
  <c r="U189" i="12"/>
  <c r="T189" i="12"/>
  <c r="S189" i="12"/>
  <c r="R189" i="12"/>
  <c r="Q189" i="12"/>
  <c r="P189" i="12"/>
  <c r="O189" i="12"/>
  <c r="V188" i="12"/>
  <c r="U188" i="12"/>
  <c r="T188" i="12"/>
  <c r="S188" i="12"/>
  <c r="R188" i="12"/>
  <c r="Q188" i="12"/>
  <c r="P188" i="12"/>
  <c r="O188" i="12"/>
  <c r="V187" i="12"/>
  <c r="U187" i="12"/>
  <c r="T187" i="12"/>
  <c r="S187" i="12"/>
  <c r="R187" i="12"/>
  <c r="Q187" i="12"/>
  <c r="P187" i="12"/>
  <c r="O187" i="12"/>
  <c r="V186" i="12"/>
  <c r="U186" i="12"/>
  <c r="T186" i="12"/>
  <c r="S186" i="12"/>
  <c r="R186" i="12"/>
  <c r="Q186" i="12"/>
  <c r="P186" i="12"/>
  <c r="O186" i="12"/>
  <c r="V185" i="12"/>
  <c r="U185" i="12"/>
  <c r="T185" i="12"/>
  <c r="S185" i="12"/>
  <c r="R185" i="12"/>
  <c r="Q185" i="12"/>
  <c r="P185" i="12"/>
  <c r="O185" i="12"/>
  <c r="V184" i="12"/>
  <c r="U184" i="12"/>
  <c r="T184" i="12"/>
  <c r="S184" i="12"/>
  <c r="R184" i="12"/>
  <c r="Q184" i="12"/>
  <c r="P184" i="12"/>
  <c r="O184" i="12"/>
  <c r="M184" i="12"/>
  <c r="L184" i="12"/>
  <c r="K184" i="12"/>
  <c r="J184" i="12"/>
  <c r="V183" i="12"/>
  <c r="U183" i="12"/>
  <c r="T183" i="12"/>
  <c r="S183" i="12"/>
  <c r="R183" i="12"/>
  <c r="Q183" i="12"/>
  <c r="P183" i="12"/>
  <c r="O183" i="12"/>
  <c r="M183" i="12"/>
  <c r="L183" i="12"/>
  <c r="K183" i="12"/>
  <c r="J183" i="12"/>
  <c r="V182" i="12"/>
  <c r="U182" i="12"/>
  <c r="T182" i="12"/>
  <c r="S182" i="12"/>
  <c r="R182" i="12"/>
  <c r="Q182" i="12"/>
  <c r="P182" i="12"/>
  <c r="O182" i="12"/>
  <c r="M182" i="12"/>
  <c r="L182" i="12"/>
  <c r="K182" i="12"/>
  <c r="J182" i="12"/>
  <c r="V181" i="12"/>
  <c r="U181" i="12"/>
  <c r="T181" i="12"/>
  <c r="S181" i="12"/>
  <c r="R181" i="12"/>
  <c r="Q181" i="12"/>
  <c r="P181" i="12"/>
  <c r="O181" i="12"/>
  <c r="M181" i="12"/>
  <c r="L181" i="12"/>
  <c r="K181" i="12"/>
  <c r="J181" i="12"/>
  <c r="V180" i="12"/>
  <c r="U180" i="12"/>
  <c r="T180" i="12"/>
  <c r="S180" i="12"/>
  <c r="R180" i="12"/>
  <c r="Q180" i="12"/>
  <c r="P180" i="12"/>
  <c r="O180" i="12"/>
  <c r="M180" i="12"/>
  <c r="L180" i="12"/>
  <c r="K180" i="12"/>
  <c r="J180" i="12"/>
  <c r="V179" i="12"/>
  <c r="U179" i="12"/>
  <c r="T179" i="12"/>
  <c r="S179" i="12"/>
  <c r="R179" i="12"/>
  <c r="Q179" i="12"/>
  <c r="P179" i="12"/>
  <c r="O179" i="12"/>
  <c r="M179" i="12"/>
  <c r="L179" i="12"/>
  <c r="K179" i="12"/>
  <c r="J179" i="12"/>
  <c r="V178" i="12"/>
  <c r="U178" i="12"/>
  <c r="T178" i="12"/>
  <c r="S178" i="12"/>
  <c r="R178" i="12"/>
  <c r="Q178" i="12"/>
  <c r="P178" i="12"/>
  <c r="O178" i="12"/>
  <c r="M178" i="12"/>
  <c r="L178" i="12"/>
  <c r="K178" i="12"/>
  <c r="J178" i="12"/>
  <c r="V177" i="12"/>
  <c r="U177" i="12"/>
  <c r="T177" i="12"/>
  <c r="S177" i="12"/>
  <c r="R177" i="12"/>
  <c r="Q177" i="12"/>
  <c r="P177" i="12"/>
  <c r="O177" i="12"/>
  <c r="M177" i="12"/>
  <c r="L177" i="12"/>
  <c r="K177" i="12"/>
  <c r="J177" i="12"/>
  <c r="E103" i="12"/>
  <c r="D103" i="12"/>
  <c r="C103" i="12"/>
  <c r="F97" i="12"/>
  <c r="F96" i="12"/>
  <c r="F95" i="12"/>
  <c r="F94" i="12"/>
  <c r="F93" i="12"/>
  <c r="F92" i="12"/>
  <c r="F91" i="12"/>
  <c r="F90" i="12"/>
  <c r="F89" i="12"/>
  <c r="F88" i="12"/>
  <c r="F87" i="12"/>
  <c r="F86" i="12"/>
  <c r="F85" i="12"/>
  <c r="F84" i="12"/>
  <c r="F83" i="12"/>
  <c r="F82" i="12"/>
  <c r="F81" i="12"/>
  <c r="F80" i="12"/>
  <c r="F79" i="12"/>
  <c r="F78" i="12"/>
  <c r="F77" i="12"/>
  <c r="F76" i="12"/>
  <c r="F75" i="12"/>
  <c r="F74" i="12"/>
  <c r="F73" i="12"/>
  <c r="F72" i="12"/>
  <c r="F71" i="12"/>
  <c r="F70" i="12"/>
  <c r="F69" i="12"/>
  <c r="F68" i="12"/>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C24" i="12"/>
  <c r="C23" i="12"/>
  <c r="C22" i="12"/>
  <c r="C21" i="12"/>
  <c r="G154" i="12" l="1"/>
  <c r="F155" i="12"/>
  <c r="H179" i="12"/>
  <c r="H183" i="12"/>
  <c r="G158" i="12"/>
  <c r="F159" i="12"/>
  <c r="E106" i="12"/>
  <c r="H180" i="12"/>
  <c r="G153" i="12"/>
  <c r="H178" i="12"/>
  <c r="G157" i="12"/>
  <c r="H182" i="12"/>
  <c r="E105" i="12"/>
  <c r="F157" i="12"/>
  <c r="F154" i="12"/>
  <c r="F158" i="12"/>
  <c r="F153" i="12"/>
  <c r="H176" i="12"/>
  <c r="C104" i="12"/>
  <c r="C105" i="12"/>
  <c r="D105" i="12"/>
  <c r="E104" i="12"/>
  <c r="C106" i="12"/>
  <c r="D106" i="12"/>
  <c r="G155" i="12"/>
  <c r="G159" i="12"/>
  <c r="H177" i="12"/>
  <c r="H181" i="12"/>
  <c r="F156" i="12"/>
  <c r="F160" i="12"/>
  <c r="D104" i="12"/>
  <c r="G156" i="12"/>
  <c r="G160" i="12"/>
  <c r="P177" i="7"/>
  <c r="Q177" i="7"/>
  <c r="R177" i="7"/>
  <c r="S177" i="7"/>
  <c r="T177" i="7"/>
  <c r="U177" i="7"/>
  <c r="V177" i="7"/>
  <c r="P178" i="7"/>
  <c r="Q178" i="7"/>
  <c r="R178" i="7"/>
  <c r="S178" i="7"/>
  <c r="T178" i="7"/>
  <c r="U178" i="7"/>
  <c r="V178" i="7"/>
  <c r="P179" i="7"/>
  <c r="Q179" i="7"/>
  <c r="R179" i="7"/>
  <c r="S179" i="7"/>
  <c r="T179" i="7"/>
  <c r="U179" i="7"/>
  <c r="V179" i="7"/>
  <c r="P180" i="7"/>
  <c r="Q180" i="7"/>
  <c r="R180" i="7"/>
  <c r="S180" i="7"/>
  <c r="T180" i="7"/>
  <c r="U180" i="7"/>
  <c r="V180" i="7"/>
  <c r="P181" i="7"/>
  <c r="Q181" i="7"/>
  <c r="R181" i="7"/>
  <c r="S181" i="7"/>
  <c r="T181" i="7"/>
  <c r="U181" i="7"/>
  <c r="V181" i="7"/>
  <c r="P182" i="7"/>
  <c r="Q182" i="7"/>
  <c r="R182" i="7"/>
  <c r="S182" i="7"/>
  <c r="T182" i="7"/>
  <c r="U182" i="7"/>
  <c r="V182" i="7"/>
  <c r="P183" i="7"/>
  <c r="Q183" i="7"/>
  <c r="R183" i="7"/>
  <c r="S183" i="7"/>
  <c r="T183" i="7"/>
  <c r="U183" i="7"/>
  <c r="V183" i="7"/>
  <c r="P184" i="7"/>
  <c r="Q184" i="7"/>
  <c r="R184" i="7"/>
  <c r="S184" i="7"/>
  <c r="T184" i="7"/>
  <c r="U184" i="7"/>
  <c r="V184" i="7"/>
  <c r="P185" i="7"/>
  <c r="Q185" i="7"/>
  <c r="R185" i="7"/>
  <c r="S185" i="7"/>
  <c r="T185" i="7"/>
  <c r="U185" i="7"/>
  <c r="V185" i="7"/>
  <c r="P186" i="7"/>
  <c r="Q186" i="7"/>
  <c r="R186" i="7"/>
  <c r="S186" i="7"/>
  <c r="T186" i="7"/>
  <c r="U186" i="7"/>
  <c r="V186" i="7"/>
  <c r="P187" i="7"/>
  <c r="Q187" i="7"/>
  <c r="R187" i="7"/>
  <c r="S187" i="7"/>
  <c r="T187" i="7"/>
  <c r="U187" i="7"/>
  <c r="V187" i="7"/>
  <c r="P188" i="7"/>
  <c r="Q188" i="7"/>
  <c r="R188" i="7"/>
  <c r="S188" i="7"/>
  <c r="T188" i="7"/>
  <c r="U188" i="7"/>
  <c r="V188" i="7"/>
  <c r="P189" i="7"/>
  <c r="Q189" i="7"/>
  <c r="R189" i="7"/>
  <c r="S189" i="7"/>
  <c r="T189" i="7"/>
  <c r="U189" i="7"/>
  <c r="V189" i="7"/>
  <c r="P190" i="7"/>
  <c r="Q190" i="7"/>
  <c r="R190" i="7"/>
  <c r="S190" i="7"/>
  <c r="T190" i="7"/>
  <c r="U190" i="7"/>
  <c r="V190" i="7"/>
  <c r="P191" i="7"/>
  <c r="Q191" i="7"/>
  <c r="R191" i="7"/>
  <c r="S191" i="7"/>
  <c r="T191" i="7"/>
  <c r="U191" i="7"/>
  <c r="V191" i="7"/>
  <c r="P192" i="7"/>
  <c r="Q192" i="7"/>
  <c r="R192" i="7"/>
  <c r="S192" i="7"/>
  <c r="T192" i="7"/>
  <c r="U192" i="7"/>
  <c r="V192" i="7"/>
  <c r="P193" i="7"/>
  <c r="Q193" i="7"/>
  <c r="R193" i="7"/>
  <c r="S193" i="7"/>
  <c r="T193" i="7"/>
  <c r="U193" i="7"/>
  <c r="V193" i="7"/>
  <c r="P194" i="7"/>
  <c r="Q194" i="7"/>
  <c r="R194" i="7"/>
  <c r="S194" i="7"/>
  <c r="T194" i="7"/>
  <c r="U194" i="7"/>
  <c r="V194" i="7"/>
  <c r="P195" i="7"/>
  <c r="Q195" i="7"/>
  <c r="R195" i="7"/>
  <c r="S195" i="7"/>
  <c r="T195" i="7"/>
  <c r="U195" i="7"/>
  <c r="V195" i="7"/>
  <c r="P196" i="7"/>
  <c r="Q196" i="7"/>
  <c r="R196" i="7"/>
  <c r="S196" i="7"/>
  <c r="T196" i="7"/>
  <c r="U196" i="7"/>
  <c r="V196" i="7"/>
  <c r="P197" i="7"/>
  <c r="Q197" i="7"/>
  <c r="R197" i="7"/>
  <c r="S197" i="7"/>
  <c r="T197" i="7"/>
  <c r="U197" i="7"/>
  <c r="V197" i="7"/>
  <c r="P198" i="7"/>
  <c r="Q198" i="7"/>
  <c r="R198" i="7"/>
  <c r="S198" i="7"/>
  <c r="T198" i="7"/>
  <c r="U198" i="7"/>
  <c r="V198" i="7"/>
  <c r="P199" i="7"/>
  <c r="Q199" i="7"/>
  <c r="R199" i="7"/>
  <c r="S199" i="7"/>
  <c r="T199" i="7"/>
  <c r="U199" i="7"/>
  <c r="V199" i="7"/>
  <c r="P200" i="7"/>
  <c r="Q200" i="7"/>
  <c r="R200" i="7"/>
  <c r="S200" i="7"/>
  <c r="T200" i="7"/>
  <c r="U200" i="7"/>
  <c r="V200" i="7"/>
  <c r="P201" i="7"/>
  <c r="Q201" i="7"/>
  <c r="R201" i="7"/>
  <c r="S201" i="7"/>
  <c r="T201" i="7"/>
  <c r="U201" i="7"/>
  <c r="V201" i="7"/>
  <c r="P202" i="7"/>
  <c r="Q202" i="7"/>
  <c r="R202" i="7"/>
  <c r="S202" i="7"/>
  <c r="T202" i="7"/>
  <c r="U202" i="7"/>
  <c r="V202" i="7"/>
  <c r="P203" i="7"/>
  <c r="Q203" i="7"/>
  <c r="R203" i="7"/>
  <c r="S203" i="7"/>
  <c r="T203" i="7"/>
  <c r="U203" i="7"/>
  <c r="V203" i="7"/>
  <c r="O176" i="7"/>
  <c r="V176" i="7"/>
  <c r="U176" i="7"/>
  <c r="T176" i="7"/>
  <c r="S176" i="7"/>
  <c r="R176" i="7"/>
  <c r="Q176" i="7"/>
  <c r="P176" i="7"/>
  <c r="V175" i="7"/>
  <c r="U175" i="7"/>
  <c r="T175" i="7"/>
  <c r="S175" i="7"/>
  <c r="R175" i="7"/>
  <c r="Q175" i="7"/>
  <c r="P175" i="7"/>
  <c r="V174" i="7"/>
  <c r="U174" i="7"/>
  <c r="T174" i="7"/>
  <c r="S174" i="7"/>
  <c r="R174" i="7"/>
  <c r="Q174" i="7"/>
  <c r="P174"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175" i="7"/>
  <c r="O174" i="7"/>
  <c r="F50" i="7"/>
  <c r="F35" i="7"/>
  <c r="F34" i="7"/>
  <c r="F33" i="7"/>
  <c r="K175" i="7"/>
  <c r="L175" i="7"/>
  <c r="M175" i="7"/>
  <c r="K176" i="7"/>
  <c r="L176" i="7"/>
  <c r="M176" i="7"/>
  <c r="K177" i="7"/>
  <c r="L177" i="7"/>
  <c r="M177" i="7"/>
  <c r="K178" i="7"/>
  <c r="L178" i="7"/>
  <c r="M178" i="7"/>
  <c r="K179" i="7"/>
  <c r="L179" i="7"/>
  <c r="M179" i="7"/>
  <c r="K180" i="7"/>
  <c r="L180" i="7"/>
  <c r="M180" i="7"/>
  <c r="K181" i="7"/>
  <c r="L181" i="7"/>
  <c r="M181" i="7"/>
  <c r="M174" i="7"/>
  <c r="L174" i="7"/>
  <c r="K174" i="7"/>
  <c r="J174" i="7"/>
  <c r="J175" i="7"/>
  <c r="J176" i="7"/>
  <c r="J177" i="7"/>
  <c r="J178" i="7"/>
  <c r="J179" i="7"/>
  <c r="J180" i="7"/>
  <c r="J181" i="7"/>
  <c r="E107" i="12" l="1"/>
  <c r="D107" i="12"/>
  <c r="D111" i="12" s="1"/>
  <c r="C107" i="12"/>
  <c r="E111" i="12"/>
  <c r="E112" i="12"/>
  <c r="G152" i="7"/>
  <c r="G150" i="7"/>
  <c r="G156" i="7"/>
  <c r="G155" i="7"/>
  <c r="G151" i="7"/>
  <c r="F153" i="7"/>
  <c r="F157" i="7"/>
  <c r="G154" i="7"/>
  <c r="H181" i="7"/>
  <c r="H179" i="7"/>
  <c r="H177" i="7"/>
  <c r="F155" i="7"/>
  <c r="H175" i="7"/>
  <c r="F151" i="7"/>
  <c r="F154" i="7"/>
  <c r="G157" i="7"/>
  <c r="G153" i="7"/>
  <c r="F152" i="7"/>
  <c r="F156" i="7"/>
  <c r="H180" i="7"/>
  <c r="H178" i="7"/>
  <c r="H176" i="7"/>
  <c r="H174" i="7"/>
  <c r="F150" i="7"/>
  <c r="D112" i="12" l="1"/>
  <c r="B113" i="12"/>
  <c r="C116" i="12"/>
  <c r="E100" i="7"/>
  <c r="D100" i="7"/>
  <c r="C100"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2" i="7"/>
  <c r="F61" i="7"/>
  <c r="F60" i="7"/>
  <c r="F59" i="7"/>
  <c r="F58" i="7"/>
  <c r="F57" i="7"/>
  <c r="F56" i="7"/>
  <c r="F55" i="7"/>
  <c r="F54" i="7"/>
  <c r="F53" i="7"/>
  <c r="F52" i="7"/>
  <c r="F51" i="7"/>
  <c r="F49" i="7"/>
  <c r="F48" i="7"/>
  <c r="F47" i="7"/>
  <c r="F46" i="7"/>
  <c r="F45" i="7"/>
  <c r="F44" i="7"/>
  <c r="F43" i="7"/>
  <c r="F42" i="7"/>
  <c r="F41" i="7"/>
  <c r="F40" i="7"/>
  <c r="F39" i="7"/>
  <c r="F38" i="7"/>
  <c r="F37" i="7"/>
  <c r="F36" i="7"/>
  <c r="C21" i="7"/>
  <c r="C20" i="7"/>
  <c r="C19" i="7"/>
  <c r="C18" i="7"/>
  <c r="E102" i="7" l="1"/>
  <c r="E103" i="7"/>
  <c r="E101" i="7"/>
  <c r="C103" i="7"/>
  <c r="C102" i="7"/>
  <c r="D103" i="7"/>
  <c r="C101" i="7"/>
  <c r="D102" i="7"/>
  <c r="D101" i="7"/>
  <c r="E104" i="7" l="1"/>
  <c r="E108" i="7" s="1"/>
  <c r="D104" i="7"/>
  <c r="C104" i="7"/>
  <c r="B110" i="7" l="1"/>
  <c r="D108" i="7"/>
  <c r="D109" i="7"/>
  <c r="C113" i="7"/>
  <c r="E109" i="7"/>
</calcChain>
</file>

<file path=xl/sharedStrings.xml><?xml version="1.0" encoding="utf-8"?>
<sst xmlns="http://schemas.openxmlformats.org/spreadsheetml/2006/main" count="177" uniqueCount="99">
  <si>
    <t>Kalkylränta (%)</t>
  </si>
  <si>
    <t>Investeringskostnad (kr)</t>
  </si>
  <si>
    <t>Restvärde (kr)</t>
  </si>
  <si>
    <t>Energislag 1</t>
  </si>
  <si>
    <t>Energislag 2</t>
  </si>
  <si>
    <t>Kalkylränta</t>
  </si>
  <si>
    <t>Investeringskostnad</t>
  </si>
  <si>
    <t>Restvärde</t>
  </si>
  <si>
    <t>Energislag 3</t>
  </si>
  <si>
    <t>Övriga årliga kostnader (kr/år)</t>
  </si>
  <si>
    <t>Åtgärd/utrustningsalternativ</t>
  </si>
  <si>
    <t>Energipris energislag (kr/kWh)</t>
  </si>
  <si>
    <t>El</t>
  </si>
  <si>
    <t>Alt A</t>
  </si>
  <si>
    <t>Alt B</t>
  </si>
  <si>
    <t>Alt C</t>
  </si>
  <si>
    <t xml:space="preserve">Årligt energibehov, energislag 1 (kWh) </t>
  </si>
  <si>
    <t xml:space="preserve">Årligt energibehov, energislag 2 (kWh) </t>
  </si>
  <si>
    <t xml:space="preserve">Årligt energibehov, energislag 3 (kWh) </t>
  </si>
  <si>
    <t>Drift- och underhållskostnad (kr/år)</t>
  </si>
  <si>
    <t>Underhållskostnad år 1</t>
  </si>
  <si>
    <t xml:space="preserve"> år 2</t>
  </si>
  <si>
    <t>Övriga kostnader år 1</t>
  </si>
  <si>
    <t>&lt;- Tryck på plus för att ange kostnader för enskilda år</t>
  </si>
  <si>
    <t>Lönsamhetsberäkningar med hjälp av LCC och återbetalningstid</t>
  </si>
  <si>
    <t>Generella indata</t>
  </si>
  <si>
    <t>Data för olika åtgärder/utrustningsalternativ</t>
  </si>
  <si>
    <t>Livscykelkostnad, LCC (kr)</t>
  </si>
  <si>
    <t>Nuvärde drift- och underhållskostnader (kr)</t>
  </si>
  <si>
    <t>Nuvärde övriga kostnader (kr)</t>
  </si>
  <si>
    <t>Nuvärde energikostnader (kr)</t>
  </si>
  <si>
    <t>Beräkningar och resultat</t>
  </si>
  <si>
    <t>Summering av resultat</t>
  </si>
  <si>
    <t>Rak återbetalningstid, payoff (år)</t>
  </si>
  <si>
    <t>För beräkningarna av livscykelkostnad (LCC) och återbetalningstid behövs följande uppgifter:</t>
  </si>
  <si>
    <t>Förklaringar</t>
  </si>
  <si>
    <r>
      <t xml:space="preserve">Kalkylräntan används för att räkna om betalningar som görs i framtiden till dagens penningvärde. Här anges den reala kalkylräntan, dvs kalkylränta utöver inflation (real kalkylränta </t>
    </r>
    <r>
      <rPr>
        <sz val="11"/>
        <color theme="1"/>
        <rFont val="Calibri"/>
        <family val="2"/>
      </rPr>
      <t>≈ nominell kalkylränta - inflation). Vilken kalkylränta man ska använda bestäms i allmänhet av den lägsta avkastning som är acceptabel för den som gör investeringen.</t>
    </r>
  </si>
  <si>
    <t>Initial engångskostnad i samband med inköp och installation.</t>
  </si>
  <si>
    <t>Drift- och underhållskostnader</t>
  </si>
  <si>
    <t>Övriga årliga kostnader</t>
  </si>
  <si>
    <t>Årligt energibehov för olika energislag</t>
  </si>
  <si>
    <t>Energipris för olika energislag</t>
  </si>
  <si>
    <t>Investering minus restvärde</t>
  </si>
  <si>
    <t>Övriga kostnader</t>
  </si>
  <si>
    <t>Energikostnader</t>
  </si>
  <si>
    <t>Jämförelse LCC</t>
  </si>
  <si>
    <t>Jämförelse Återbetalningstid</t>
  </si>
  <si>
    <t>&lt;-
Tror du att energipriserna kommer att förändras?
Tryck på plus för att ange energiprisförändring
&lt;-</t>
  </si>
  <si>
    <t>Förväntad real årlig energiprisförändring (%)</t>
  </si>
  <si>
    <t>Förväntad real årlig energiprisförändring</t>
  </si>
  <si>
    <r>
      <t xml:space="preserve">Real årlig förändring av energipriset </t>
    </r>
    <r>
      <rPr>
        <b/>
        <sz val="11"/>
        <color theme="1"/>
        <rFont val="Calibri"/>
        <family val="2"/>
        <scheme val="minor"/>
      </rPr>
      <t>utöver</t>
    </r>
    <r>
      <rPr>
        <sz val="11"/>
        <color theme="1"/>
        <rFont val="Calibri"/>
        <family val="2"/>
        <scheme val="minor"/>
      </rPr>
      <t xml:space="preserve"> inflationen (real prisförändring </t>
    </r>
    <r>
      <rPr>
        <sz val="11"/>
        <color theme="1"/>
        <rFont val="Calibri"/>
        <family val="2"/>
      </rPr>
      <t>≈ nominell prisförändring - inflation)</t>
    </r>
  </si>
  <si>
    <t>Känslighetsanalys</t>
  </si>
  <si>
    <t>Testa gärna också att variera andra osäkra indata, t.ex. investeringskostnader eller energipriser!</t>
  </si>
  <si>
    <t>Nuvärde investering minus restvärde (kr)</t>
  </si>
  <si>
    <t>Nusummefaktor</t>
  </si>
  <si>
    <t>Nusummefaktor energislag 1</t>
  </si>
  <si>
    <t>Nusummefaktor energislag 2</t>
  </si>
  <si>
    <t>Nusummefaktor energislag 3</t>
  </si>
  <si>
    <t>Lönsamhetsbedömning av åtgärd B och C (jämfört mot Alt A)</t>
  </si>
  <si>
    <t xml:space="preserve">Av Alt A, B och C har </t>
  </si>
  <si>
    <t xml:space="preserve"> lägst LCC-kostnad</t>
  </si>
  <si>
    <t>Indata - parameter</t>
  </si>
  <si>
    <t>Förklaring</t>
  </si>
  <si>
    <t>Resultat</t>
  </si>
  <si>
    <t>Livscykelkostnad, LCC</t>
  </si>
  <si>
    <t>Rak återbetalningstid</t>
  </si>
  <si>
    <t>Huvudresultatet av LCC-kalkylen är den totala livscykelkostnaden för olika alternativ. Livscykelkostnaden beräknas som summan av nuvärdet av alla kostnader.</t>
  </si>
  <si>
    <t>Lönsamhetsbedömningar</t>
  </si>
  <si>
    <t>För lönsamhetsberäkningar (med återbetalningstid eller nuvärde av investering) antas Alt A vara ett grundalternativ, som motsvarar att man inte gör någonting eller att man investerar i konventionell eller befintlig utrustning.Sedan beräknas lönsamheten i att investera i Alt B eller C istället för att välja Alt A.</t>
  </si>
  <si>
    <t>Kostnader för underhåll och skötsel anges i normalfallet som en fast årlig kostnad. I särskilda fall kan kostnader för enskilda år anges. (Kostnaderna ska anges utan inflation,dvs i dagens penningvärde, eftersom det är den reala kalkylräntan som används vid nuvärdesberäkningarna)</t>
  </si>
  <si>
    <t>Kalkylperiod (år)</t>
  </si>
  <si>
    <t>Kalkylperiod</t>
  </si>
  <si>
    <t>Utrustningens faktiska brukstid/användningstid, ekonomiska livslängd eller uppskattade tekniska livslängd.</t>
  </si>
  <si>
    <t>Nettonuvärde av investering, Minskning LCC (kr)</t>
  </si>
  <si>
    <t>Nettonuvärde av investering</t>
  </si>
  <si>
    <t>Nettonuvärdet av en investering är ett lönsamhetsmått, som bygger på samma beräkningsprinciper som LCC-kalkylen. Nettonuvärdet av att investera i Alt B resp C istället för att välja Alt A motsvaras av minskningen i LCC-kostnad. En investering bedöms som lönsam om nettonuvärdet är större än noll.</t>
  </si>
  <si>
    <t>Indata anges i orangefärgade celler, och det är enbart dessa som går att ändra i.</t>
  </si>
  <si>
    <t>Aktuell pris som företaget betalar för t.ex. el, fjärrvärme eller annat energislag vars användning påverkas genom investeringen. Både energislag och pris anges av användaren.</t>
  </si>
  <si>
    <t>Eventuellt återstående ekonomiskt värde efter brukstiden.</t>
  </si>
  <si>
    <r>
      <t xml:space="preserve">Övriga kostnader som skiljer sig mellan alternativen. I övriga kostnader kan eventuella </t>
    </r>
    <r>
      <rPr>
        <b/>
        <sz val="11"/>
        <color theme="1"/>
        <rFont val="Calibri"/>
        <family val="2"/>
        <scheme val="minor"/>
      </rPr>
      <t>mervärden</t>
    </r>
    <r>
      <rPr>
        <sz val="11"/>
        <color theme="1"/>
        <rFont val="Calibri"/>
        <family val="2"/>
        <scheme val="minor"/>
      </rPr>
      <t xml:space="preserve"> av en energieffektiviseringsåtgärd anges, om de är möjliga att sätta ett monetärt värde på. Eftersom man alltid jämför två olika alternativ kan det vara lättare att ange skillnaden mellan alternativen istället för de absoluta kostnaderna. Övriga kostnader kan också inkludera t.ex. eventuella miljökostnader. Här kan man också lägga in fasta energiavgifter (t.ex. fast elnätsavgift).</t>
    </r>
  </si>
  <si>
    <t xml:space="preserve">Årligt energibehov. Kan uppskattas utifrån effekt och drifttid för utrustningen (energibehov = effekt x drifttid). För lönsamhetsberäkning (återbetalningstid och nettonuvärde) behöver endast energbehov som skiljer mellan alternativen anges. </t>
  </si>
  <si>
    <r>
      <t xml:space="preserve">Här presenteras korta förklaringar av de olika parametrarna i LCC-kalkylen. </t>
    </r>
    <r>
      <rPr>
        <b/>
        <i/>
        <sz val="11"/>
        <color theme="1"/>
        <rFont val="Calibri"/>
        <family val="2"/>
        <scheme val="minor"/>
      </rPr>
      <t xml:space="preserve">För en mer utförlig förklaring och beskrivningar av de exempel som finns inlagda på separata flikar hänvisas till den mer omfattande manualen som hör till verktyget. </t>
    </r>
    <r>
      <rPr>
        <i/>
        <sz val="11"/>
        <color theme="1"/>
        <rFont val="Calibri"/>
        <family val="2"/>
        <scheme val="minor"/>
      </rPr>
      <t>Manualen kan laddas ner från samma ställe som verktyget.</t>
    </r>
  </si>
  <si>
    <t>Ex ingen åtgärd</t>
  </si>
  <si>
    <t>Återbetalningstiden är den tid i år det tar innan den högre investeringen för Alt B resp C jämfört med Alt A har betalat igen sig i form av lägre driftkostnader. För att uträkningen ska ge ett meningsfullt resultat behöver därför Alt A vara det alternativ som har lägst investeringskostnad. Återbetalningstiden, som den beräknas i det här verktyget, tar ej hänsyn till följande:
- kalkylränta
- eventuell energiprisökning
- restvärde
- underhåll eller övriga kostnader angivna för enskilda år</t>
  </si>
  <si>
    <t>Effekt befintlig pump (W)</t>
  </si>
  <si>
    <t>Årligt energibehov befintlig pump (kWh/år)</t>
  </si>
  <si>
    <t>Årligt energibehov ny pump (kWh/år)</t>
  </si>
  <si>
    <t>Årlig energibesparing (kWh/år)</t>
  </si>
  <si>
    <t>Indata beräkningsexempel</t>
  </si>
  <si>
    <t>Procentuell energibesparing med ny pump</t>
  </si>
  <si>
    <t>Befintlig äldre pump, standard-modell</t>
  </si>
  <si>
    <t>Ny tryckstyrd pump, energiklass A</t>
  </si>
  <si>
    <t>Utsläppsfaktor (gCO2e/kWh)</t>
  </si>
  <si>
    <t>Årlig utsläppsminskning (kgCO2e/år)</t>
  </si>
  <si>
    <t>Antar konstant drift året runt. Detta värde förs in i cell C31</t>
  </si>
  <si>
    <t>Detta värde förs in i cell D31</t>
  </si>
  <si>
    <t>Årlig drifttid (h/år)</t>
  </si>
  <si>
    <t>Se faktaruta Kostnader</t>
  </si>
  <si>
    <t>Se faktaruta Fakta cirkulationspumpar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</si>
</sst>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_-* #,##0\ [$kr-41D]_-;\-* #,##0\ [$kr-41D]_-;_-* &quot;-&quot;??\ [$kr-41D]_-;_-@_-"/>
    <numFmt numFmtId="167" formatCode="_-\ #,##0\ &quot;kr&quot;_-;\-\ #,##0\ &quot;kr&quot;_-;_-\ &quot;-&quot;\ &quot;kr&quot;_-;_-@_-"/>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i/>
      <sz val="11"/>
      <color theme="5"/>
      <name val="Calibri"/>
      <family val="2"/>
      <scheme val="minor"/>
    </font>
    <font>
      <sz val="11"/>
      <color theme="0" tint="-4.9989318521683403E-2"/>
      <name val="Calibri"/>
      <family val="2"/>
      <scheme val="minor"/>
    </font>
    <font>
      <sz val="11"/>
      <name val="Calibri"/>
      <family val="2"/>
      <scheme val="minor"/>
    </font>
    <font>
      <b/>
      <sz val="11"/>
      <color rgb="FFFA7D00"/>
      <name val="Calibri"/>
      <family val="2"/>
      <scheme val="minor"/>
    </font>
    <font>
      <i/>
      <sz val="11"/>
      <color theme="1"/>
      <name val="Calibri"/>
      <family val="2"/>
      <scheme val="minor"/>
    </font>
    <font>
      <b/>
      <i/>
      <sz val="11"/>
      <color theme="1"/>
      <name val="Calibri"/>
      <family val="2"/>
      <scheme val="minor"/>
    </font>
    <font>
      <i/>
      <sz val="10"/>
      <color rgb="FFFF0000"/>
      <name val="Arial"/>
      <family val="2"/>
    </font>
    <font>
      <sz val="11"/>
      <color theme="1"/>
      <name val="Calibri Light"/>
      <family val="2"/>
      <scheme val="major"/>
    </font>
  </fonts>
  <fills count="9">
    <fill>
      <patternFill patternType="none"/>
    </fill>
    <fill>
      <patternFill patternType="gray125"/>
    </fill>
    <fill>
      <patternFill patternType="solid">
        <fgColor rgb="FFC6EFCE"/>
      </patternFill>
    </fill>
    <fill>
      <patternFill patternType="solid">
        <fgColor rgb="FFFFCC99"/>
      </patternFill>
    </fill>
    <fill>
      <patternFill patternType="solid">
        <fgColor theme="4"/>
      </patternFill>
    </fill>
    <fill>
      <patternFill patternType="solid">
        <fgColor theme="8" tint="0.79998168889431442"/>
        <bgColor indexed="65"/>
      </patternFill>
    </fill>
    <fill>
      <patternFill patternType="solid">
        <fgColor indexed="9"/>
        <bgColor indexed="64"/>
      </patternFill>
    </fill>
    <fill>
      <patternFill patternType="solid">
        <fgColor rgb="FFF2F2F2"/>
      </patternFill>
    </fill>
    <fill>
      <patternFill patternType="solid">
        <fgColor theme="4"/>
        <bgColor indexed="64"/>
      </patternFill>
    </fill>
  </fills>
  <borders count="6">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ck">
        <color theme="4"/>
      </top>
      <bottom/>
      <diagonal/>
    </border>
    <border>
      <left style="thin">
        <color theme="4" tint="-0.249977111117893"/>
      </left>
      <right style="thin">
        <color theme="4" tint="-0.249977111117893"/>
      </right>
      <top style="thin">
        <color theme="4" tint="-0.249977111117893"/>
      </top>
      <bottom style="thin">
        <color theme="4" tint="-0.249977111117893"/>
      </bottom>
      <diagonal/>
    </border>
  </borders>
  <cellStyleXfs count="1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2" borderId="0" applyNumberFormat="0" applyBorder="0" applyAlignment="0" applyProtection="0"/>
    <xf numFmtId="0" fontId="6" fillId="3" borderId="3" applyNumberFormat="0" applyAlignment="0" applyProtection="0"/>
    <xf numFmtId="0" fontId="8" fillId="0" borderId="0" applyNumberFormat="0" applyFill="0" applyBorder="0" applyAlignment="0" applyProtection="0"/>
    <xf numFmtId="0" fontId="10" fillId="4" borderId="0" applyNumberFormat="0" applyBorder="0" applyAlignment="0" applyProtection="0"/>
    <xf numFmtId="0" fontId="1" fillId="5" borderId="0" applyNumberFormat="0" applyBorder="0" applyAlignment="0" applyProtection="0"/>
    <xf numFmtId="0" fontId="15" fillId="7" borderId="3" applyNumberFormat="0" applyAlignment="0" applyProtection="0"/>
    <xf numFmtId="9" fontId="1" fillId="0" borderId="0" applyFont="0" applyFill="0" applyBorder="0" applyAlignment="0" applyProtection="0"/>
    <xf numFmtId="0" fontId="19" fillId="0" borderId="0"/>
  </cellStyleXfs>
  <cellXfs count="49">
    <xf numFmtId="0" fontId="0" fillId="0" borderId="0" xfId="0"/>
    <xf numFmtId="0" fontId="6" fillId="3" borderId="3" xfId="5"/>
    <xf numFmtId="0" fontId="0" fillId="0" borderId="0" xfId="0" applyAlignment="1">
      <alignment horizontal="center" wrapText="1"/>
    </xf>
    <xf numFmtId="0" fontId="6" fillId="3" borderId="3" xfId="5" applyAlignment="1">
      <alignment horizontal="center" wrapText="1"/>
    </xf>
    <xf numFmtId="0" fontId="0" fillId="0" borderId="0" xfId="0" applyAlignment="1">
      <alignment horizontal="center"/>
    </xf>
    <xf numFmtId="0" fontId="6" fillId="3" borderId="3" xfId="5" applyAlignment="1">
      <alignment horizontal="center"/>
    </xf>
    <xf numFmtId="0" fontId="0" fillId="0" borderId="0" xfId="0" applyAlignment="1">
      <alignment horizontal="right"/>
    </xf>
    <xf numFmtId="164" fontId="6" fillId="3" borderId="3" xfId="5" applyNumberFormat="1" applyAlignment="1">
      <alignment horizontal="center"/>
    </xf>
    <xf numFmtId="2" fontId="6" fillId="3" borderId="3" xfId="5" applyNumberFormat="1" applyAlignment="1">
      <alignment horizontal="center"/>
    </xf>
    <xf numFmtId="0" fontId="4" fillId="0" borderId="2" xfId="3"/>
    <xf numFmtId="0" fontId="3" fillId="0" borderId="1" xfId="2"/>
    <xf numFmtId="0" fontId="12" fillId="0" borderId="0" xfId="6" applyFont="1"/>
    <xf numFmtId="0" fontId="12" fillId="0" borderId="0" xfId="6" applyFont="1" applyAlignment="1">
      <alignment wrapText="1"/>
    </xf>
    <xf numFmtId="0" fontId="12" fillId="0" borderId="0" xfId="6" applyFont="1" applyAlignment="1">
      <alignment horizontal="center" textRotation="90" wrapText="1"/>
    </xf>
    <xf numFmtId="1" fontId="0" fillId="0" borderId="0" xfId="0" applyNumberFormat="1" applyAlignment="1">
      <alignment horizontal="center"/>
    </xf>
    <xf numFmtId="0" fontId="13" fillId="0" borderId="0" xfId="0" applyFont="1"/>
    <xf numFmtId="0" fontId="5" fillId="2" borderId="0" xfId="4" applyAlignment="1">
      <alignment horizontal="center"/>
    </xf>
    <xf numFmtId="0" fontId="0" fillId="0" borderId="0" xfId="0" applyAlignment="1">
      <alignment vertical="top"/>
    </xf>
    <xf numFmtId="0" fontId="0" fillId="0" borderId="0" xfId="0" applyAlignment="1">
      <alignment vertical="top" wrapText="1"/>
    </xf>
    <xf numFmtId="0" fontId="0" fillId="6" borderId="0" xfId="0" applyFill="1" applyAlignment="1">
      <alignment vertical="top" wrapText="1"/>
    </xf>
    <xf numFmtId="0" fontId="10" fillId="0" borderId="0" xfId="0" applyFont="1"/>
    <xf numFmtId="0" fontId="2" fillId="0" borderId="1" xfId="1" applyBorder="1"/>
    <xf numFmtId="0" fontId="9" fillId="0" borderId="0" xfId="0" applyFont="1"/>
    <xf numFmtId="166" fontId="10" fillId="0" borderId="0" xfId="0" applyNumberFormat="1" applyFont="1"/>
    <xf numFmtId="0" fontId="14" fillId="0" borderId="0" xfId="0" applyFont="1"/>
    <xf numFmtId="2" fontId="15" fillId="7" borderId="3" xfId="9" applyNumberFormat="1" applyAlignment="1">
      <alignment horizontal="center"/>
    </xf>
    <xf numFmtId="0" fontId="12" fillId="0" borderId="0" xfId="6" applyFont="1" applyAlignment="1">
      <alignment horizontal="left" wrapText="1"/>
    </xf>
    <xf numFmtId="0" fontId="16" fillId="0" borderId="0" xfId="0" applyFont="1"/>
    <xf numFmtId="165" fontId="6" fillId="3" borderId="3" xfId="5" applyNumberFormat="1" applyAlignment="1">
      <alignment horizontal="center"/>
    </xf>
    <xf numFmtId="0" fontId="4" fillId="0" borderId="2" xfId="3" applyAlignment="1">
      <alignment vertical="top"/>
    </xf>
    <xf numFmtId="0" fontId="4" fillId="0" borderId="2" xfId="3" applyAlignment="1">
      <alignment vertical="top" wrapText="1"/>
    </xf>
    <xf numFmtId="0" fontId="0" fillId="0" borderId="0" xfId="0" applyAlignment="1">
      <alignment wrapText="1"/>
    </xf>
    <xf numFmtId="1" fontId="6" fillId="3" borderId="3" xfId="5" applyNumberFormat="1" applyAlignment="1">
      <alignment horizontal="center"/>
    </xf>
    <xf numFmtId="0" fontId="6" fillId="3" borderId="3" xfId="5" applyAlignment="1" applyProtection="1">
      <alignment horizontal="center"/>
      <protection locked="0"/>
    </xf>
    <xf numFmtId="0" fontId="6" fillId="3" borderId="3" xfId="5" applyAlignment="1" applyProtection="1">
      <alignment horizontal="center"/>
      <protection locked="0" hidden="1"/>
    </xf>
    <xf numFmtId="167" fontId="1" fillId="5" borderId="5" xfId="8" applyNumberFormat="1" applyBorder="1"/>
    <xf numFmtId="167" fontId="7" fillId="8" borderId="5" xfId="8" applyNumberFormat="1" applyFont="1" applyFill="1" applyBorder="1"/>
    <xf numFmtId="0" fontId="4" fillId="0" borderId="0" xfId="3" applyBorder="1"/>
    <xf numFmtId="165" fontId="7" fillId="4" borderId="5" xfId="7" applyNumberFormat="1" applyFont="1" applyBorder="1" applyAlignment="1">
      <alignment horizontal="center"/>
    </xf>
    <xf numFmtId="166" fontId="7" fillId="4" borderId="5" xfId="7" applyNumberFormat="1" applyFont="1" applyBorder="1"/>
    <xf numFmtId="0" fontId="8" fillId="0" borderId="0" xfId="6"/>
    <xf numFmtId="9" fontId="6" fillId="3" borderId="3" xfId="10" applyFont="1" applyFill="1" applyBorder="1" applyAlignment="1" applyProtection="1">
      <alignment horizontal="center"/>
      <protection locked="0"/>
    </xf>
    <xf numFmtId="0" fontId="1" fillId="5" borderId="5" xfId="8" applyBorder="1" applyAlignment="1" applyProtection="1">
      <alignment horizontal="center"/>
      <protection locked="0"/>
    </xf>
    <xf numFmtId="1" fontId="1" fillId="5" borderId="5" xfId="8" applyNumberFormat="1" applyBorder="1" applyAlignment="1" applyProtection="1">
      <alignment horizontal="center"/>
      <protection locked="0"/>
    </xf>
    <xf numFmtId="1" fontId="7" fillId="8" borderId="5" xfId="8" applyNumberFormat="1" applyFont="1" applyFill="1" applyBorder="1" applyAlignment="1" applyProtection="1">
      <alignment horizontal="center"/>
      <protection locked="0"/>
    </xf>
    <xf numFmtId="0" fontId="0" fillId="0" borderId="0" xfId="0"/>
    <xf numFmtId="0" fontId="12" fillId="0" borderId="0" xfId="6" applyFont="1" applyAlignment="1">
      <alignment horizontal="left" vertical="top" wrapText="1"/>
    </xf>
    <xf numFmtId="0" fontId="18" fillId="0" borderId="0" xfId="0" applyFont="1" applyAlignment="1">
      <alignment wrapText="1"/>
    </xf>
    <xf numFmtId="0" fontId="0" fillId="0" borderId="4" xfId="0" applyBorder="1" applyAlignment="1">
      <alignment horizontal="left" vertical="top" wrapText="1"/>
    </xf>
  </cellXfs>
  <cellStyles count="12">
    <cellStyle name="20 % - Dekorfärg5" xfId="8" builtinId="46"/>
    <cellStyle name="Beräkning" xfId="9" builtinId="22"/>
    <cellStyle name="Bra" xfId="4" builtinId="26"/>
    <cellStyle name="Dekorfärg1" xfId="7" builtinId="29"/>
    <cellStyle name="Förklarande text" xfId="6" builtinId="53"/>
    <cellStyle name="Indata" xfId="5" builtinId="20"/>
    <cellStyle name="Normal" xfId="0" builtinId="0"/>
    <cellStyle name="Normal 2" xfId="11" xr:uid="{9FC26032-FB5E-4DF4-AD14-8A64A1329BE8}"/>
    <cellStyle name="Procent" xfId="10" builtinId="5"/>
    <cellStyle name="Rubrik" xfId="1" builtinId="15"/>
    <cellStyle name="Rubrik 1" xfId="2" builtinId="16"/>
    <cellStyle name="Rubrik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US"/>
              <a:t>Återbetalningstid (år)</a:t>
            </a: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sv-SE"/>
        </a:p>
      </c:txPr>
    </c:title>
    <c:autoTitleDeleted val="0"/>
    <c:plotArea>
      <c:layout/>
      <c:barChart>
        <c:barDir val="col"/>
        <c:grouping val="clustered"/>
        <c:varyColors val="0"/>
        <c:ser>
          <c:idx val="0"/>
          <c:order val="0"/>
          <c:tx>
            <c:v>Återbetalningstid</c:v>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sv-S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LCC!$D$24:$E$24</c:f>
              <c:strCache>
                <c:ptCount val="2"/>
                <c:pt idx="0">
                  <c:v>Alt B</c:v>
                </c:pt>
                <c:pt idx="1">
                  <c:v>Alt C</c:v>
                </c:pt>
              </c:strCache>
            </c:strRef>
          </c:cat>
          <c:val>
            <c:numRef>
              <c:f>LCC!$D$108:$E$108</c:f>
              <c:numCache>
                <c:formatCode>0.0</c:formatCode>
                <c:ptCount val="2"/>
                <c:pt idx="0">
                  <c:v>0</c:v>
                </c:pt>
                <c:pt idx="1">
                  <c:v>0</c:v>
                </c:pt>
              </c:numCache>
            </c:numRef>
          </c:val>
          <c:extLst>
            <c:ext xmlns:c16="http://schemas.microsoft.com/office/drawing/2014/chart" uri="{C3380CC4-5D6E-409C-BE32-E72D297353CC}">
              <c16:uniqueId val="{00000001-7F6B-4682-A218-3A280B196B51}"/>
            </c:ext>
          </c:extLst>
        </c:ser>
        <c:dLbls>
          <c:showLegendKey val="0"/>
          <c:showVal val="1"/>
          <c:showCatName val="0"/>
          <c:showSerName val="0"/>
          <c:showPercent val="0"/>
          <c:showBubbleSize val="0"/>
        </c:dLbls>
        <c:gapWidth val="41"/>
        <c:axId val="463911552"/>
        <c:axId val="463992320"/>
      </c:barChart>
      <c:catAx>
        <c:axId val="4639115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lumMod val="65000"/>
                    <a:lumOff val="35000"/>
                  </a:schemeClr>
                </a:solidFill>
                <a:effectLst/>
                <a:latin typeface="+mn-lt"/>
                <a:ea typeface="+mn-ea"/>
                <a:cs typeface="+mn-cs"/>
              </a:defRPr>
            </a:pPr>
            <a:endParaRPr lang="sv-SE"/>
          </a:p>
        </c:txPr>
        <c:crossAx val="463992320"/>
        <c:crosses val="autoZero"/>
        <c:auto val="1"/>
        <c:lblAlgn val="ctr"/>
        <c:lblOffset val="100"/>
        <c:noMultiLvlLbl val="0"/>
      </c:catAx>
      <c:valAx>
        <c:axId val="463992320"/>
        <c:scaling>
          <c:orientation val="minMax"/>
        </c:scaling>
        <c:delete val="1"/>
        <c:axPos val="l"/>
        <c:numFmt formatCode="0.0" sourceLinked="1"/>
        <c:majorTickMark val="none"/>
        <c:minorTickMark val="none"/>
        <c:tickLblPos val="none"/>
        <c:crossAx val="463911552"/>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v-SE"/>
    </a:p>
  </c:tx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sv-SE" b="0"/>
              <a:t>LCC-kostnadens beroende av kalkylräntan</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sv-SE"/>
        </a:p>
      </c:txPr>
    </c:title>
    <c:autoTitleDeleted val="0"/>
    <c:plotArea>
      <c:layout/>
      <c:scatterChart>
        <c:scatterStyle val="lineMarker"/>
        <c:varyColors val="0"/>
        <c:ser>
          <c:idx val="0"/>
          <c:order val="0"/>
          <c:tx>
            <c:strRef>
              <c:f>LCC!$F$149</c:f>
              <c:strCache>
                <c:ptCount val="1"/>
                <c:pt idx="0">
                  <c:v>Alt A</c:v>
                </c:pt>
              </c:strCache>
            </c:strRef>
          </c:tx>
          <c:spPr>
            <a:ln w="19050" cap="rnd">
              <a:solidFill>
                <a:schemeClr val="accent1"/>
              </a:solidFill>
              <a:round/>
            </a:ln>
            <a:effectLst>
              <a:outerShdw blurRad="57150" dist="19050" dir="5400000" algn="ctr" rotWithShape="0">
                <a:srgbClr val="000000">
                  <a:alpha val="63000"/>
                </a:srgbClr>
              </a:outerShdw>
            </a:effectLst>
          </c:spPr>
          <c:marker>
            <c:symbol val="none"/>
          </c:marker>
          <c:xVal>
            <c:numRef>
              <c:f>LCC!$E$150:$E$157</c:f>
              <c:numCache>
                <c:formatCode>General</c:formatCode>
                <c:ptCount val="8"/>
                <c:pt idx="0">
                  <c:v>1E-3</c:v>
                </c:pt>
                <c:pt idx="1">
                  <c:v>0.02</c:v>
                </c:pt>
                <c:pt idx="2">
                  <c:v>0.04</c:v>
                </c:pt>
                <c:pt idx="3">
                  <c:v>0.06</c:v>
                </c:pt>
                <c:pt idx="4">
                  <c:v>0.08</c:v>
                </c:pt>
                <c:pt idx="5">
                  <c:v>0.1</c:v>
                </c:pt>
                <c:pt idx="6">
                  <c:v>0.12</c:v>
                </c:pt>
                <c:pt idx="7">
                  <c:v>0.14000000000000001</c:v>
                </c:pt>
              </c:numCache>
            </c:numRef>
          </c:xVal>
          <c:yVal>
            <c:numRef>
              <c:f>LCC!$F$150:$F$157</c:f>
              <c:numCache>
                <c:formatCode>_-* #\ ##0\ [$kr-41D]_-;\-* #\ ##0\ [$kr-41D]_-;_-* "-"??\ [$kr-41D]_-;_-@_-</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0-77A9-4CAB-A0EE-700C9C69F05B}"/>
            </c:ext>
          </c:extLst>
        </c:ser>
        <c:ser>
          <c:idx val="1"/>
          <c:order val="1"/>
          <c:tx>
            <c:strRef>
              <c:f>LCC!$G$149</c:f>
              <c:strCache>
                <c:ptCount val="1"/>
                <c:pt idx="0">
                  <c:v>Alt B</c:v>
                </c:pt>
              </c:strCache>
            </c:strRef>
          </c:tx>
          <c:spPr>
            <a:ln w="19050" cap="rnd">
              <a:solidFill>
                <a:schemeClr val="accent2"/>
              </a:solidFill>
              <a:round/>
            </a:ln>
            <a:effectLst>
              <a:outerShdw blurRad="57150" dist="19050" dir="5400000" algn="ctr" rotWithShape="0">
                <a:srgbClr val="000000">
                  <a:alpha val="63000"/>
                </a:srgbClr>
              </a:outerShdw>
            </a:effectLst>
          </c:spPr>
          <c:marker>
            <c:symbol val="none"/>
          </c:marker>
          <c:xVal>
            <c:numRef>
              <c:f>LCC!$E$150:$E$157</c:f>
              <c:numCache>
                <c:formatCode>General</c:formatCode>
                <c:ptCount val="8"/>
                <c:pt idx="0">
                  <c:v>1E-3</c:v>
                </c:pt>
                <c:pt idx="1">
                  <c:v>0.02</c:v>
                </c:pt>
                <c:pt idx="2">
                  <c:v>0.04</c:v>
                </c:pt>
                <c:pt idx="3">
                  <c:v>0.06</c:v>
                </c:pt>
                <c:pt idx="4">
                  <c:v>0.08</c:v>
                </c:pt>
                <c:pt idx="5">
                  <c:v>0.1</c:v>
                </c:pt>
                <c:pt idx="6">
                  <c:v>0.12</c:v>
                </c:pt>
                <c:pt idx="7">
                  <c:v>0.14000000000000001</c:v>
                </c:pt>
              </c:numCache>
            </c:numRef>
          </c:xVal>
          <c:yVal>
            <c:numRef>
              <c:f>LCC!$G$150:$G$157</c:f>
              <c:numCache>
                <c:formatCode>_-* #\ ##0\ [$kr-41D]_-;\-* #\ ##0\ [$kr-41D]_-;_-* "-"??\ [$kr-41D]_-;_-@_-</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77A9-4CAB-A0EE-700C9C69F05B}"/>
            </c:ext>
          </c:extLst>
        </c:ser>
        <c:ser>
          <c:idx val="2"/>
          <c:order val="2"/>
          <c:tx>
            <c:strRef>
              <c:f>LCC!$H$173</c:f>
              <c:strCache>
                <c:ptCount val="1"/>
                <c:pt idx="0">
                  <c:v>Alt C</c:v>
                </c:pt>
              </c:strCache>
            </c:strRef>
          </c:tx>
          <c:spPr>
            <a:ln w="19050" cap="rnd">
              <a:solidFill>
                <a:schemeClr val="accent3"/>
              </a:solidFill>
              <a:round/>
            </a:ln>
            <a:effectLst>
              <a:outerShdw blurRad="57150" dist="19050" dir="5400000" algn="ctr" rotWithShape="0">
                <a:srgbClr val="000000">
                  <a:alpha val="63000"/>
                </a:srgbClr>
              </a:outerShdw>
            </a:effectLst>
          </c:spPr>
          <c:marker>
            <c:symbol val="none"/>
          </c:marker>
          <c:xVal>
            <c:numRef>
              <c:f>LCC!$E$150:$E$157</c:f>
              <c:numCache>
                <c:formatCode>General</c:formatCode>
                <c:ptCount val="8"/>
                <c:pt idx="0">
                  <c:v>1E-3</c:v>
                </c:pt>
                <c:pt idx="1">
                  <c:v>0.02</c:v>
                </c:pt>
                <c:pt idx="2">
                  <c:v>0.04</c:v>
                </c:pt>
                <c:pt idx="3">
                  <c:v>0.06</c:v>
                </c:pt>
                <c:pt idx="4">
                  <c:v>0.08</c:v>
                </c:pt>
                <c:pt idx="5">
                  <c:v>0.1</c:v>
                </c:pt>
                <c:pt idx="6">
                  <c:v>0.12</c:v>
                </c:pt>
                <c:pt idx="7">
                  <c:v>0.14000000000000001</c:v>
                </c:pt>
              </c:numCache>
            </c:numRef>
          </c:xVal>
          <c:yVal>
            <c:numRef>
              <c:f>LCC!$H$174:$H$181</c:f>
              <c:numCache>
                <c:formatCode>_-* #\ ##0\ [$kr-41D]_-;\-* #\ ##0\ [$kr-41D]_-;_-* "-"??\ [$kr-41D]_-;_-@_-</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2-77A9-4CAB-A0EE-700C9C69F05B}"/>
            </c:ext>
          </c:extLst>
        </c:ser>
        <c:dLbls>
          <c:showLegendKey val="0"/>
          <c:showVal val="0"/>
          <c:showCatName val="0"/>
          <c:showSerName val="0"/>
          <c:showPercent val="0"/>
          <c:showBubbleSize val="0"/>
        </c:dLbls>
        <c:axId val="474138112"/>
        <c:axId val="474139648"/>
      </c:scatterChart>
      <c:valAx>
        <c:axId val="474138112"/>
        <c:scaling>
          <c:orientation val="minMax"/>
          <c:max val="0.15000000000000013"/>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v-SE"/>
          </a:p>
        </c:txPr>
        <c:crossAx val="474139648"/>
        <c:crosses val="autoZero"/>
        <c:crossBetween val="midCat"/>
      </c:valAx>
      <c:valAx>
        <c:axId val="474139648"/>
        <c:scaling>
          <c:orientation val="minMax"/>
        </c:scaling>
        <c:delete val="0"/>
        <c:axPos val="l"/>
        <c:majorGridlines>
          <c:spPr>
            <a:ln w="9525" cap="flat" cmpd="sng" algn="ctr">
              <a:solidFill>
                <a:schemeClr val="tx1">
                  <a:lumMod val="15000"/>
                  <a:lumOff val="85000"/>
                </a:schemeClr>
              </a:solidFill>
              <a:round/>
            </a:ln>
            <a:effectLst/>
          </c:spPr>
        </c:majorGridlines>
        <c:numFmt formatCode="_-* #\ ##0\ [$kr-41D]_-;\-* #\ ##0\ [$kr-41D]_-;_-* &quot;-&quot;??\ [$kr-41D]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v-SE"/>
          </a:p>
        </c:txPr>
        <c:crossAx val="4741381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LCC!$F$100</c:f>
              <c:strCache>
                <c:ptCount val="1"/>
                <c:pt idx="0">
                  <c:v>Investering minus restvärde</c:v>
                </c:pt>
              </c:strCache>
            </c:strRef>
          </c:tx>
          <c:invertIfNegative val="0"/>
          <c:dLbls>
            <c:delete val="1"/>
          </c:dLbls>
          <c:cat>
            <c:strRef>
              <c:f>LCC!$C$99:$E$99</c:f>
              <c:strCache>
                <c:ptCount val="3"/>
                <c:pt idx="0">
                  <c:v>Alt A</c:v>
                </c:pt>
                <c:pt idx="1">
                  <c:v>Alt B</c:v>
                </c:pt>
                <c:pt idx="2">
                  <c:v>Alt C</c:v>
                </c:pt>
              </c:strCache>
            </c:strRef>
          </c:cat>
          <c:val>
            <c:numRef>
              <c:f>LCC!$C$100:$E$100</c:f>
              <c:numCache>
                <c:formatCode>_-\ #\ ##0\ "kr"_-;\-\ #\ ##0\ "kr"_-;_-\ "-"\ "kr"_-;_-@_-</c:formatCode>
                <c:ptCount val="3"/>
                <c:pt idx="0">
                  <c:v>0</c:v>
                </c:pt>
                <c:pt idx="1">
                  <c:v>0</c:v>
                </c:pt>
                <c:pt idx="2">
                  <c:v>0</c:v>
                </c:pt>
              </c:numCache>
            </c:numRef>
          </c:val>
          <c:extLst>
            <c:ext xmlns:c16="http://schemas.microsoft.com/office/drawing/2014/chart" uri="{C3380CC4-5D6E-409C-BE32-E72D297353CC}">
              <c16:uniqueId val="{00000000-1268-4BAB-913E-8ABF9B086FE5}"/>
            </c:ext>
          </c:extLst>
        </c:ser>
        <c:ser>
          <c:idx val="3"/>
          <c:order val="1"/>
          <c:tx>
            <c:strRef>
              <c:f>LCC!$F$103</c:f>
              <c:strCache>
                <c:ptCount val="1"/>
                <c:pt idx="0">
                  <c:v>Energikostnader</c:v>
                </c:pt>
              </c:strCache>
            </c:strRef>
          </c:tx>
          <c:invertIfNegative val="0"/>
          <c:dLbls>
            <c:delete val="1"/>
          </c:dLbls>
          <c:cat>
            <c:strRef>
              <c:f>LCC!$C$99:$E$99</c:f>
              <c:strCache>
                <c:ptCount val="3"/>
                <c:pt idx="0">
                  <c:v>Alt A</c:v>
                </c:pt>
                <c:pt idx="1">
                  <c:v>Alt B</c:v>
                </c:pt>
                <c:pt idx="2">
                  <c:v>Alt C</c:v>
                </c:pt>
              </c:strCache>
            </c:strRef>
          </c:cat>
          <c:val>
            <c:numRef>
              <c:f>LCC!$C$103:$E$103</c:f>
              <c:numCache>
                <c:formatCode>_-\ #\ ##0\ "kr"_-;\-\ #\ ##0\ "kr"_-;_-\ "-"\ "kr"_-;_-@_-</c:formatCode>
                <c:ptCount val="3"/>
                <c:pt idx="0">
                  <c:v>0</c:v>
                </c:pt>
                <c:pt idx="1">
                  <c:v>0</c:v>
                </c:pt>
                <c:pt idx="2">
                  <c:v>0</c:v>
                </c:pt>
              </c:numCache>
            </c:numRef>
          </c:val>
          <c:extLst>
            <c:ext xmlns:c16="http://schemas.microsoft.com/office/drawing/2014/chart" uri="{C3380CC4-5D6E-409C-BE32-E72D297353CC}">
              <c16:uniqueId val="{00000001-1268-4BAB-913E-8ABF9B086FE5}"/>
            </c:ext>
          </c:extLst>
        </c:ser>
        <c:ser>
          <c:idx val="1"/>
          <c:order val="2"/>
          <c:tx>
            <c:strRef>
              <c:f>LCC!$F$101</c:f>
              <c:strCache>
                <c:ptCount val="1"/>
                <c:pt idx="0">
                  <c:v>Drift- och underhållskostnader</c:v>
                </c:pt>
              </c:strCache>
            </c:strRef>
          </c:tx>
          <c:invertIfNegative val="0"/>
          <c:dLbls>
            <c:delete val="1"/>
          </c:dLbls>
          <c:cat>
            <c:strRef>
              <c:f>LCC!$C$99:$E$99</c:f>
              <c:strCache>
                <c:ptCount val="3"/>
                <c:pt idx="0">
                  <c:v>Alt A</c:v>
                </c:pt>
                <c:pt idx="1">
                  <c:v>Alt B</c:v>
                </c:pt>
                <c:pt idx="2">
                  <c:v>Alt C</c:v>
                </c:pt>
              </c:strCache>
            </c:strRef>
          </c:cat>
          <c:val>
            <c:numRef>
              <c:f>LCC!$C$101:$E$101</c:f>
              <c:numCache>
                <c:formatCode>_-\ #\ ##0\ "kr"_-;\-\ #\ ##0\ "kr"_-;_-\ "-"\ "kr"_-;_-@_-</c:formatCode>
                <c:ptCount val="3"/>
                <c:pt idx="0">
                  <c:v>0</c:v>
                </c:pt>
                <c:pt idx="1">
                  <c:v>0</c:v>
                </c:pt>
                <c:pt idx="2">
                  <c:v>0</c:v>
                </c:pt>
              </c:numCache>
            </c:numRef>
          </c:val>
          <c:extLst>
            <c:ext xmlns:c16="http://schemas.microsoft.com/office/drawing/2014/chart" uri="{C3380CC4-5D6E-409C-BE32-E72D297353CC}">
              <c16:uniqueId val="{00000002-1268-4BAB-913E-8ABF9B086FE5}"/>
            </c:ext>
          </c:extLst>
        </c:ser>
        <c:ser>
          <c:idx val="2"/>
          <c:order val="3"/>
          <c:tx>
            <c:strRef>
              <c:f>LCC!$F$102</c:f>
              <c:strCache>
                <c:ptCount val="1"/>
                <c:pt idx="0">
                  <c:v>Övriga kostnader</c:v>
                </c:pt>
              </c:strCache>
            </c:strRef>
          </c:tx>
          <c:invertIfNegative val="0"/>
          <c:dLbls>
            <c:delete val="1"/>
          </c:dLbls>
          <c:cat>
            <c:strRef>
              <c:f>LCC!$C$99:$E$99</c:f>
              <c:strCache>
                <c:ptCount val="3"/>
                <c:pt idx="0">
                  <c:v>Alt A</c:v>
                </c:pt>
                <c:pt idx="1">
                  <c:v>Alt B</c:v>
                </c:pt>
                <c:pt idx="2">
                  <c:v>Alt C</c:v>
                </c:pt>
              </c:strCache>
            </c:strRef>
          </c:cat>
          <c:val>
            <c:numRef>
              <c:f>LCC!$C$102:$E$102</c:f>
              <c:numCache>
                <c:formatCode>_-\ #\ ##0\ "kr"_-;\-\ #\ ##0\ "kr"_-;_-\ "-"\ "kr"_-;_-@_-</c:formatCode>
                <c:ptCount val="3"/>
                <c:pt idx="0">
                  <c:v>0</c:v>
                </c:pt>
                <c:pt idx="1">
                  <c:v>0</c:v>
                </c:pt>
                <c:pt idx="2">
                  <c:v>0</c:v>
                </c:pt>
              </c:numCache>
            </c:numRef>
          </c:val>
          <c:extLst>
            <c:ext xmlns:c16="http://schemas.microsoft.com/office/drawing/2014/chart" uri="{C3380CC4-5D6E-409C-BE32-E72D297353CC}">
              <c16:uniqueId val="{00000003-1268-4BAB-913E-8ABF9B086FE5}"/>
            </c:ext>
          </c:extLst>
        </c:ser>
        <c:dLbls>
          <c:showLegendKey val="0"/>
          <c:showVal val="1"/>
          <c:showCatName val="0"/>
          <c:showSerName val="0"/>
          <c:showPercent val="0"/>
          <c:showBubbleSize val="0"/>
        </c:dLbls>
        <c:gapWidth val="41"/>
        <c:overlap val="100"/>
        <c:axId val="571690368"/>
        <c:axId val="571696256"/>
      </c:barChart>
      <c:catAx>
        <c:axId val="571690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lumMod val="65000"/>
                    <a:lumOff val="35000"/>
                  </a:schemeClr>
                </a:solidFill>
                <a:effectLst/>
                <a:latin typeface="+mn-lt"/>
                <a:ea typeface="+mn-ea"/>
                <a:cs typeface="+mn-cs"/>
              </a:defRPr>
            </a:pPr>
            <a:endParaRPr lang="sv-SE"/>
          </a:p>
        </c:txPr>
        <c:crossAx val="571696256"/>
        <c:crosses val="autoZero"/>
        <c:auto val="1"/>
        <c:lblAlgn val="ctr"/>
        <c:lblOffset val="100"/>
        <c:noMultiLvlLbl val="0"/>
      </c:catAx>
      <c:valAx>
        <c:axId val="571696256"/>
        <c:scaling>
          <c:orientation val="minMax"/>
        </c:scaling>
        <c:delete val="0"/>
        <c:axPos val="l"/>
        <c:numFmt formatCode="_-\ #\ ##0\ &quot;kr&quot;_-;\-\ #\ ##0\ &quot;kr&quot;_-;_-\ &quot;-&quot;\ &quot;kr&quot;_-;_-@_-" sourceLinked="1"/>
        <c:majorTickMark val="out"/>
        <c:minorTickMark val="none"/>
        <c:tickLblPos val="nextTo"/>
        <c:txPr>
          <a:bodyPr/>
          <a:lstStyle/>
          <a:p>
            <a:pPr>
              <a:defRPr sz="1100"/>
            </a:pPr>
            <a:endParaRPr lang="sv-SE"/>
          </a:p>
        </c:txPr>
        <c:crossAx val="571690368"/>
        <c:crosses val="autoZero"/>
        <c:crossBetween val="between"/>
      </c:valAx>
      <c:spPr>
        <a:noFill/>
        <a:ln>
          <a:noFill/>
        </a:ln>
        <a:effectLst/>
      </c:spPr>
    </c:plotArea>
    <c:legend>
      <c:legendPos val="r"/>
      <c:overlay val="0"/>
      <c:txPr>
        <a:bodyPr/>
        <a:lstStyle/>
        <a:p>
          <a:pPr>
            <a:defRPr sz="1100"/>
          </a:pPr>
          <a:endParaRPr lang="sv-SE"/>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v-SE"/>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US"/>
              <a:t>Återbetalningstid (år)</a:t>
            </a: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sv-SE"/>
        </a:p>
      </c:txPr>
    </c:title>
    <c:autoTitleDeleted val="0"/>
    <c:plotArea>
      <c:layout/>
      <c:barChart>
        <c:barDir val="col"/>
        <c:grouping val="clustered"/>
        <c:varyColors val="0"/>
        <c:ser>
          <c:idx val="0"/>
          <c:order val="0"/>
          <c:tx>
            <c:v>Återbetalningstid</c:v>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sv-S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'byte cirkulationspump'!$D$27:$E$27</c:f>
              <c:strCache>
                <c:ptCount val="2"/>
                <c:pt idx="0">
                  <c:v>Alt B</c:v>
                </c:pt>
                <c:pt idx="1">
                  <c:v>Alt C</c:v>
                </c:pt>
              </c:strCache>
            </c:strRef>
          </c:cat>
          <c:val>
            <c:numRef>
              <c:f>'byte cirkulationspump'!$D$111:$E$111</c:f>
              <c:numCache>
                <c:formatCode>0.0</c:formatCode>
                <c:ptCount val="2"/>
                <c:pt idx="0">
                  <c:v>6.5401445966514453</c:v>
                </c:pt>
                <c:pt idx="1">
                  <c:v>0</c:v>
                </c:pt>
              </c:numCache>
            </c:numRef>
          </c:val>
          <c:extLst>
            <c:ext xmlns:c16="http://schemas.microsoft.com/office/drawing/2014/chart" uri="{C3380CC4-5D6E-409C-BE32-E72D297353CC}">
              <c16:uniqueId val="{00000000-7CD3-4B35-BDB1-FD09969A8F6C}"/>
            </c:ext>
          </c:extLst>
        </c:ser>
        <c:dLbls>
          <c:showLegendKey val="0"/>
          <c:showVal val="1"/>
          <c:showCatName val="0"/>
          <c:showSerName val="0"/>
          <c:showPercent val="0"/>
          <c:showBubbleSize val="0"/>
        </c:dLbls>
        <c:gapWidth val="41"/>
        <c:axId val="463911552"/>
        <c:axId val="463992320"/>
      </c:barChart>
      <c:catAx>
        <c:axId val="4639115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lumMod val="65000"/>
                    <a:lumOff val="35000"/>
                  </a:schemeClr>
                </a:solidFill>
                <a:effectLst/>
                <a:latin typeface="+mn-lt"/>
                <a:ea typeface="+mn-ea"/>
                <a:cs typeface="+mn-cs"/>
              </a:defRPr>
            </a:pPr>
            <a:endParaRPr lang="sv-SE"/>
          </a:p>
        </c:txPr>
        <c:crossAx val="463992320"/>
        <c:crosses val="autoZero"/>
        <c:auto val="1"/>
        <c:lblAlgn val="ctr"/>
        <c:lblOffset val="100"/>
        <c:noMultiLvlLbl val="0"/>
      </c:catAx>
      <c:valAx>
        <c:axId val="463992320"/>
        <c:scaling>
          <c:orientation val="minMax"/>
        </c:scaling>
        <c:delete val="1"/>
        <c:axPos val="l"/>
        <c:numFmt formatCode="0.0" sourceLinked="1"/>
        <c:majorTickMark val="none"/>
        <c:minorTickMark val="none"/>
        <c:tickLblPos val="none"/>
        <c:crossAx val="463911552"/>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v-SE"/>
    </a:p>
  </c:txPr>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sv-SE" b="0"/>
              <a:t>LCC-kostnadens beroende av kalkylräntan</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sv-SE"/>
        </a:p>
      </c:txPr>
    </c:title>
    <c:autoTitleDeleted val="0"/>
    <c:plotArea>
      <c:layout/>
      <c:scatterChart>
        <c:scatterStyle val="lineMarker"/>
        <c:varyColors val="0"/>
        <c:ser>
          <c:idx val="0"/>
          <c:order val="0"/>
          <c:tx>
            <c:strRef>
              <c:f>'byte cirkulationspump'!$F$152</c:f>
              <c:strCache>
                <c:ptCount val="1"/>
                <c:pt idx="0">
                  <c:v>Alt A</c:v>
                </c:pt>
              </c:strCache>
            </c:strRef>
          </c:tx>
          <c:spPr>
            <a:ln w="19050" cap="rnd">
              <a:solidFill>
                <a:schemeClr val="accent1"/>
              </a:solidFill>
              <a:round/>
            </a:ln>
            <a:effectLst>
              <a:outerShdw blurRad="57150" dist="19050" dir="5400000" algn="ctr" rotWithShape="0">
                <a:srgbClr val="000000">
                  <a:alpha val="63000"/>
                </a:srgbClr>
              </a:outerShdw>
            </a:effectLst>
          </c:spPr>
          <c:marker>
            <c:symbol val="none"/>
          </c:marker>
          <c:xVal>
            <c:numRef>
              <c:f>'byte cirkulationspump'!$E$153:$E$160</c:f>
              <c:numCache>
                <c:formatCode>General</c:formatCode>
                <c:ptCount val="8"/>
                <c:pt idx="0">
                  <c:v>1E-3</c:v>
                </c:pt>
                <c:pt idx="1">
                  <c:v>0.02</c:v>
                </c:pt>
                <c:pt idx="2">
                  <c:v>0.04</c:v>
                </c:pt>
                <c:pt idx="3">
                  <c:v>0.06</c:v>
                </c:pt>
                <c:pt idx="4">
                  <c:v>0.08</c:v>
                </c:pt>
                <c:pt idx="5">
                  <c:v>0.1</c:v>
                </c:pt>
                <c:pt idx="6">
                  <c:v>0.12</c:v>
                </c:pt>
                <c:pt idx="7">
                  <c:v>0.14000000000000001</c:v>
                </c:pt>
              </c:numCache>
            </c:numRef>
          </c:xVal>
          <c:yVal>
            <c:numRef>
              <c:f>'byte cirkulationspump'!$F$153:$F$160</c:f>
              <c:numCache>
                <c:formatCode>_-* #\ ##0\ [$kr-41D]_-;\-* #\ ##0\ [$kr-41D]_-;_-* "-"??\ [$kr-41D]_-;_-@_-</c:formatCode>
                <c:ptCount val="8"/>
                <c:pt idx="0">
                  <c:v>44443.421836381029</c:v>
                </c:pt>
                <c:pt idx="1">
                  <c:v>35537.103200793186</c:v>
                </c:pt>
                <c:pt idx="2">
                  <c:v>28552.16988467706</c:v>
                </c:pt>
                <c:pt idx="3">
                  <c:v>23317.984243713054</c:v>
                </c:pt>
                <c:pt idx="4">
                  <c:v>19341.527751112662</c:v>
                </c:pt>
                <c:pt idx="5">
                  <c:v>16279.612023730271</c:v>
                </c:pt>
                <c:pt idx="6">
                  <c:v>13890.659469436554</c:v>
                </c:pt>
                <c:pt idx="7">
                  <c:v>12002.740620416538</c:v>
                </c:pt>
              </c:numCache>
            </c:numRef>
          </c:yVal>
          <c:smooth val="0"/>
          <c:extLst>
            <c:ext xmlns:c16="http://schemas.microsoft.com/office/drawing/2014/chart" uri="{C3380CC4-5D6E-409C-BE32-E72D297353CC}">
              <c16:uniqueId val="{00000000-FD63-44B5-B05F-0E744776C2EC}"/>
            </c:ext>
          </c:extLst>
        </c:ser>
        <c:ser>
          <c:idx val="1"/>
          <c:order val="1"/>
          <c:tx>
            <c:strRef>
              <c:f>'byte cirkulationspump'!$G$152</c:f>
              <c:strCache>
                <c:ptCount val="1"/>
                <c:pt idx="0">
                  <c:v>Alt B</c:v>
                </c:pt>
              </c:strCache>
            </c:strRef>
          </c:tx>
          <c:spPr>
            <a:ln w="19050" cap="rnd">
              <a:solidFill>
                <a:schemeClr val="accent2"/>
              </a:solidFill>
              <a:round/>
            </a:ln>
            <a:effectLst>
              <a:outerShdw blurRad="57150" dist="19050" dir="5400000" algn="ctr" rotWithShape="0">
                <a:srgbClr val="000000">
                  <a:alpha val="63000"/>
                </a:srgbClr>
              </a:outerShdw>
            </a:effectLst>
          </c:spPr>
          <c:marker>
            <c:symbol val="none"/>
          </c:marker>
          <c:xVal>
            <c:numRef>
              <c:f>'byte cirkulationspump'!$E$153:$E$160</c:f>
              <c:numCache>
                <c:formatCode>General</c:formatCode>
                <c:ptCount val="8"/>
                <c:pt idx="0">
                  <c:v>1E-3</c:v>
                </c:pt>
                <c:pt idx="1">
                  <c:v>0.02</c:v>
                </c:pt>
                <c:pt idx="2">
                  <c:v>0.04</c:v>
                </c:pt>
                <c:pt idx="3">
                  <c:v>0.06</c:v>
                </c:pt>
                <c:pt idx="4">
                  <c:v>0.08</c:v>
                </c:pt>
                <c:pt idx="5">
                  <c:v>0.1</c:v>
                </c:pt>
                <c:pt idx="6">
                  <c:v>0.12</c:v>
                </c:pt>
                <c:pt idx="7">
                  <c:v>0.14000000000000001</c:v>
                </c:pt>
              </c:numCache>
            </c:numRef>
          </c:xVal>
          <c:yVal>
            <c:numRef>
              <c:f>'byte cirkulationspump'!$G$153:$G$160</c:f>
              <c:numCache>
                <c:formatCode>_-* #\ ##0\ [$kr-41D]_-;\-* #\ ##0\ [$kr-41D]_-;_-* "-"??\ [$kr-41D]_-;_-@_-</c:formatCode>
                <c:ptCount val="8"/>
                <c:pt idx="0">
                  <c:v>17555.329357248189</c:v>
                </c:pt>
                <c:pt idx="1">
                  <c:v>15223.649975294175</c:v>
                </c:pt>
                <c:pt idx="2">
                  <c:v>13384.886192130241</c:v>
                </c:pt>
                <c:pt idx="3">
                  <c:v>11998.784243713053</c:v>
                </c:pt>
                <c:pt idx="4">
                  <c:v>10939.20913541442</c:v>
                </c:pt>
                <c:pt idx="5">
                  <c:v>10118.092599907424</c:v>
                </c:pt>
                <c:pt idx="6">
                  <c:v>9473.2428737797254</c:v>
                </c:pt>
                <c:pt idx="7">
                  <c:v>8960.2490123418575</c:v>
                </c:pt>
              </c:numCache>
            </c:numRef>
          </c:yVal>
          <c:smooth val="0"/>
          <c:extLst>
            <c:ext xmlns:c16="http://schemas.microsoft.com/office/drawing/2014/chart" uri="{C3380CC4-5D6E-409C-BE32-E72D297353CC}">
              <c16:uniqueId val="{00000001-FD63-44B5-B05F-0E744776C2EC}"/>
            </c:ext>
          </c:extLst>
        </c:ser>
        <c:ser>
          <c:idx val="2"/>
          <c:order val="2"/>
          <c:tx>
            <c:strRef>
              <c:f>'byte cirkulationspump'!$H$175</c:f>
              <c:strCache>
                <c:ptCount val="1"/>
                <c:pt idx="0">
                  <c:v>Alt C</c:v>
                </c:pt>
              </c:strCache>
            </c:strRef>
          </c:tx>
          <c:spPr>
            <a:ln w="19050" cap="rnd">
              <a:solidFill>
                <a:schemeClr val="accent3"/>
              </a:solidFill>
              <a:round/>
            </a:ln>
            <a:effectLst>
              <a:outerShdw blurRad="57150" dist="19050" dir="5400000" algn="ctr" rotWithShape="0">
                <a:srgbClr val="000000">
                  <a:alpha val="63000"/>
                </a:srgbClr>
              </a:outerShdw>
            </a:effectLst>
          </c:spPr>
          <c:marker>
            <c:symbol val="none"/>
          </c:marker>
          <c:xVal>
            <c:numRef>
              <c:f>'byte cirkulationspump'!$E$153:$E$160</c:f>
              <c:numCache>
                <c:formatCode>General</c:formatCode>
                <c:ptCount val="8"/>
                <c:pt idx="0">
                  <c:v>1E-3</c:v>
                </c:pt>
                <c:pt idx="1">
                  <c:v>0.02</c:v>
                </c:pt>
                <c:pt idx="2">
                  <c:v>0.04</c:v>
                </c:pt>
                <c:pt idx="3">
                  <c:v>0.06</c:v>
                </c:pt>
                <c:pt idx="4">
                  <c:v>0.08</c:v>
                </c:pt>
                <c:pt idx="5">
                  <c:v>0.1</c:v>
                </c:pt>
                <c:pt idx="6">
                  <c:v>0.12</c:v>
                </c:pt>
                <c:pt idx="7">
                  <c:v>0.14000000000000001</c:v>
                </c:pt>
              </c:numCache>
            </c:numRef>
          </c:xVal>
          <c:yVal>
            <c:numRef>
              <c:f>'byte cirkulationspump'!$H$176:$H$183</c:f>
              <c:numCache>
                <c:formatCode>_-* #\ ##0\ [$kr-41D]_-;\-* #\ ##0\ [$kr-41D]_-;_-* "-"??\ [$kr-41D]_-;_-@_-</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2-FD63-44B5-B05F-0E744776C2EC}"/>
            </c:ext>
          </c:extLst>
        </c:ser>
        <c:dLbls>
          <c:showLegendKey val="0"/>
          <c:showVal val="0"/>
          <c:showCatName val="0"/>
          <c:showSerName val="0"/>
          <c:showPercent val="0"/>
          <c:showBubbleSize val="0"/>
        </c:dLbls>
        <c:axId val="474138112"/>
        <c:axId val="474139648"/>
      </c:scatterChart>
      <c:valAx>
        <c:axId val="474138112"/>
        <c:scaling>
          <c:orientation val="minMax"/>
          <c:max val="0.15000000000000013"/>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v-SE"/>
          </a:p>
        </c:txPr>
        <c:crossAx val="474139648"/>
        <c:crosses val="autoZero"/>
        <c:crossBetween val="midCat"/>
      </c:valAx>
      <c:valAx>
        <c:axId val="474139648"/>
        <c:scaling>
          <c:orientation val="minMax"/>
        </c:scaling>
        <c:delete val="0"/>
        <c:axPos val="l"/>
        <c:majorGridlines>
          <c:spPr>
            <a:ln w="9525" cap="flat" cmpd="sng" algn="ctr">
              <a:solidFill>
                <a:schemeClr val="tx1">
                  <a:lumMod val="15000"/>
                  <a:lumOff val="85000"/>
                </a:schemeClr>
              </a:solidFill>
              <a:round/>
            </a:ln>
            <a:effectLst/>
          </c:spPr>
        </c:majorGridlines>
        <c:numFmt formatCode="_-* #\ ##0\ [$kr-41D]_-;\-* #\ ##0\ [$kr-41D]_-;_-* &quot;-&quot;??\ [$kr-41D]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v-SE"/>
          </a:p>
        </c:txPr>
        <c:crossAx val="4741381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'byte cirkulationspump'!$F$103</c:f>
              <c:strCache>
                <c:ptCount val="1"/>
                <c:pt idx="0">
                  <c:v>Investering minus restvärde</c:v>
                </c:pt>
              </c:strCache>
            </c:strRef>
          </c:tx>
          <c:invertIfNegative val="0"/>
          <c:dLbls>
            <c:delete val="1"/>
          </c:dLbls>
          <c:cat>
            <c:strRef>
              <c:f>'byte cirkulationspump'!$C$102:$E$102</c:f>
              <c:strCache>
                <c:ptCount val="3"/>
                <c:pt idx="0">
                  <c:v>Alt A</c:v>
                </c:pt>
                <c:pt idx="1">
                  <c:v>Alt B</c:v>
                </c:pt>
                <c:pt idx="2">
                  <c:v>Alt C</c:v>
                </c:pt>
              </c:strCache>
            </c:strRef>
          </c:cat>
          <c:val>
            <c:numRef>
              <c:f>'byte cirkulationspump'!$C$103:$E$103</c:f>
              <c:numCache>
                <c:formatCode>_-\ #\ ##0\ "kr"_-;\-\ #\ ##0\ "kr"_-;_-\ "-"\ "kr"_-;_-@_-</c:formatCode>
                <c:ptCount val="3"/>
                <c:pt idx="0">
                  <c:v>0</c:v>
                </c:pt>
                <c:pt idx="1">
                  <c:v>5500</c:v>
                </c:pt>
                <c:pt idx="2">
                  <c:v>0</c:v>
                </c:pt>
              </c:numCache>
            </c:numRef>
          </c:val>
          <c:extLst>
            <c:ext xmlns:c16="http://schemas.microsoft.com/office/drawing/2014/chart" uri="{C3380CC4-5D6E-409C-BE32-E72D297353CC}">
              <c16:uniqueId val="{00000000-F970-456D-8D69-E371C1B1A4F3}"/>
            </c:ext>
          </c:extLst>
        </c:ser>
        <c:ser>
          <c:idx val="3"/>
          <c:order val="1"/>
          <c:tx>
            <c:strRef>
              <c:f>'byte cirkulationspump'!$F$106</c:f>
              <c:strCache>
                <c:ptCount val="1"/>
                <c:pt idx="0">
                  <c:v>Energikostnader</c:v>
                </c:pt>
              </c:strCache>
            </c:strRef>
          </c:tx>
          <c:invertIfNegative val="0"/>
          <c:dLbls>
            <c:delete val="1"/>
          </c:dLbls>
          <c:cat>
            <c:strRef>
              <c:f>'byte cirkulationspump'!$C$102:$E$102</c:f>
              <c:strCache>
                <c:ptCount val="3"/>
                <c:pt idx="0">
                  <c:v>Alt A</c:v>
                </c:pt>
                <c:pt idx="1">
                  <c:v>Alt B</c:v>
                </c:pt>
                <c:pt idx="2">
                  <c:v>Alt C</c:v>
                </c:pt>
              </c:strCache>
            </c:strRef>
          </c:cat>
          <c:val>
            <c:numRef>
              <c:f>'byte cirkulationspump'!$C$106:$E$106</c:f>
              <c:numCache>
                <c:formatCode>_-\ #\ ##0\ "kr"_-;\-\ #\ ##0\ "kr"_-;_-\ "-"\ "kr"_-;_-@_-</c:formatCode>
                <c:ptCount val="3"/>
                <c:pt idx="0">
                  <c:v>25834.104615683522</c:v>
                </c:pt>
                <c:pt idx="1">
                  <c:v>5166.8209231367027</c:v>
                </c:pt>
                <c:pt idx="2">
                  <c:v>0</c:v>
                </c:pt>
              </c:numCache>
            </c:numRef>
          </c:val>
          <c:extLst>
            <c:ext xmlns:c16="http://schemas.microsoft.com/office/drawing/2014/chart" uri="{C3380CC4-5D6E-409C-BE32-E72D297353CC}">
              <c16:uniqueId val="{00000001-F970-456D-8D69-E371C1B1A4F3}"/>
            </c:ext>
          </c:extLst>
        </c:ser>
        <c:ser>
          <c:idx val="1"/>
          <c:order val="2"/>
          <c:tx>
            <c:strRef>
              <c:f>'byte cirkulationspump'!$F$104</c:f>
              <c:strCache>
                <c:ptCount val="1"/>
                <c:pt idx="0">
                  <c:v>Drift- och underhållskostnader</c:v>
                </c:pt>
              </c:strCache>
            </c:strRef>
          </c:tx>
          <c:invertIfNegative val="0"/>
          <c:dLbls>
            <c:delete val="1"/>
          </c:dLbls>
          <c:cat>
            <c:strRef>
              <c:f>'byte cirkulationspump'!$C$102:$E$102</c:f>
              <c:strCache>
                <c:ptCount val="3"/>
                <c:pt idx="0">
                  <c:v>Alt A</c:v>
                </c:pt>
                <c:pt idx="1">
                  <c:v>Alt B</c:v>
                </c:pt>
                <c:pt idx="2">
                  <c:v>Alt C</c:v>
                </c:pt>
              </c:strCache>
            </c:strRef>
          </c:cat>
          <c:val>
            <c:numRef>
              <c:f>'byte cirkulationspump'!$C$104:$E$104</c:f>
              <c:numCache>
                <c:formatCode>_-\ #\ ##0\ "kr"_-;\-\ #\ ##0\ "kr"_-;_-\ "-"\ "kr"_-;_-@_-</c:formatCode>
                <c:ptCount val="3"/>
                <c:pt idx="0">
                  <c:v>2718.0652689935396</c:v>
                </c:pt>
                <c:pt idx="1">
                  <c:v>2718.0652689935396</c:v>
                </c:pt>
                <c:pt idx="2">
                  <c:v>0</c:v>
                </c:pt>
              </c:numCache>
            </c:numRef>
          </c:val>
          <c:extLst>
            <c:ext xmlns:c16="http://schemas.microsoft.com/office/drawing/2014/chart" uri="{C3380CC4-5D6E-409C-BE32-E72D297353CC}">
              <c16:uniqueId val="{00000002-F970-456D-8D69-E371C1B1A4F3}"/>
            </c:ext>
          </c:extLst>
        </c:ser>
        <c:ser>
          <c:idx val="2"/>
          <c:order val="3"/>
          <c:tx>
            <c:strRef>
              <c:f>'byte cirkulationspump'!$F$105</c:f>
              <c:strCache>
                <c:ptCount val="1"/>
                <c:pt idx="0">
                  <c:v>Övriga kostnader</c:v>
                </c:pt>
              </c:strCache>
            </c:strRef>
          </c:tx>
          <c:invertIfNegative val="0"/>
          <c:dLbls>
            <c:delete val="1"/>
          </c:dLbls>
          <c:cat>
            <c:strRef>
              <c:f>'byte cirkulationspump'!$C$102:$E$102</c:f>
              <c:strCache>
                <c:ptCount val="3"/>
                <c:pt idx="0">
                  <c:v>Alt A</c:v>
                </c:pt>
                <c:pt idx="1">
                  <c:v>Alt B</c:v>
                </c:pt>
                <c:pt idx="2">
                  <c:v>Alt C</c:v>
                </c:pt>
              </c:strCache>
            </c:strRef>
          </c:cat>
          <c:val>
            <c:numRef>
              <c:f>'byte cirkulationspump'!$C$105:$E$105</c:f>
              <c:numCache>
                <c:formatCode>_-\ #\ ##0\ "kr"_-;\-\ #\ ##0\ "kr"_-;_-\ "-"\ "kr"_-;_-@_-</c:formatCode>
                <c:ptCount val="3"/>
                <c:pt idx="0">
                  <c:v>0</c:v>
                </c:pt>
                <c:pt idx="1">
                  <c:v>0</c:v>
                </c:pt>
                <c:pt idx="2">
                  <c:v>0</c:v>
                </c:pt>
              </c:numCache>
            </c:numRef>
          </c:val>
          <c:extLst>
            <c:ext xmlns:c16="http://schemas.microsoft.com/office/drawing/2014/chart" uri="{C3380CC4-5D6E-409C-BE32-E72D297353CC}">
              <c16:uniqueId val="{00000003-F970-456D-8D69-E371C1B1A4F3}"/>
            </c:ext>
          </c:extLst>
        </c:ser>
        <c:dLbls>
          <c:showLegendKey val="0"/>
          <c:showVal val="1"/>
          <c:showCatName val="0"/>
          <c:showSerName val="0"/>
          <c:showPercent val="0"/>
          <c:showBubbleSize val="0"/>
        </c:dLbls>
        <c:gapWidth val="41"/>
        <c:overlap val="100"/>
        <c:axId val="571690368"/>
        <c:axId val="571696256"/>
      </c:barChart>
      <c:catAx>
        <c:axId val="571690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lumMod val="65000"/>
                    <a:lumOff val="35000"/>
                  </a:schemeClr>
                </a:solidFill>
                <a:effectLst/>
                <a:latin typeface="+mn-lt"/>
                <a:ea typeface="+mn-ea"/>
                <a:cs typeface="+mn-cs"/>
              </a:defRPr>
            </a:pPr>
            <a:endParaRPr lang="sv-SE"/>
          </a:p>
        </c:txPr>
        <c:crossAx val="571696256"/>
        <c:crosses val="autoZero"/>
        <c:auto val="1"/>
        <c:lblAlgn val="ctr"/>
        <c:lblOffset val="100"/>
        <c:noMultiLvlLbl val="0"/>
      </c:catAx>
      <c:valAx>
        <c:axId val="571696256"/>
        <c:scaling>
          <c:orientation val="minMax"/>
        </c:scaling>
        <c:delete val="0"/>
        <c:axPos val="l"/>
        <c:numFmt formatCode="_-\ #\ ##0\ &quot;kr&quot;_-;\-\ #\ ##0\ &quot;kr&quot;_-;_-\ &quot;-&quot;\ &quot;kr&quot;_-;_-@_-" sourceLinked="1"/>
        <c:majorTickMark val="out"/>
        <c:minorTickMark val="none"/>
        <c:tickLblPos val="nextTo"/>
        <c:txPr>
          <a:bodyPr/>
          <a:lstStyle/>
          <a:p>
            <a:pPr>
              <a:defRPr sz="1100"/>
            </a:pPr>
            <a:endParaRPr lang="sv-SE"/>
          </a:p>
        </c:txPr>
        <c:crossAx val="571690368"/>
        <c:crosses val="autoZero"/>
        <c:crossBetween val="between"/>
      </c:valAx>
      <c:spPr>
        <a:noFill/>
        <a:ln>
          <a:noFill/>
        </a:ln>
        <a:effectLst/>
      </c:spPr>
    </c:plotArea>
    <c:legend>
      <c:legendPos val="r"/>
      <c:overlay val="0"/>
      <c:txPr>
        <a:bodyPr/>
        <a:lstStyle/>
        <a:p>
          <a:pPr>
            <a:defRPr sz="1100"/>
          </a:pPr>
          <a:endParaRPr lang="sv-SE"/>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v-SE"/>
    </a:p>
  </c:txPr>
  <c:printSettings>
    <c:headerFooter/>
    <c:pageMargins b="0.75000000000000044" l="0.7000000000000004" r="0.7000000000000004" t="0.75000000000000044" header="0.30000000000000021" footer="0.3000000000000002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152400</xdr:colOff>
      <xdr:row>23</xdr:row>
      <xdr:rowOff>200024</xdr:rowOff>
    </xdr:from>
    <xdr:to>
      <xdr:col>10</xdr:col>
      <xdr:colOff>180975</xdr:colOff>
      <xdr:row>29</xdr:row>
      <xdr:rowOff>104774</xdr:rowOff>
    </xdr:to>
    <xdr:sp macro="" textlink="">
      <xdr:nvSpPr>
        <xdr:cNvPr id="2" name="AutoShape 70">
          <a:extLst>
            <a:ext uri="{FF2B5EF4-FFF2-40B4-BE49-F238E27FC236}">
              <a16:creationId xmlns:a16="http://schemas.microsoft.com/office/drawing/2014/main" id="{59508F03-0E1D-43CB-91B1-228D33FA5B41}"/>
            </a:ext>
          </a:extLst>
        </xdr:cNvPr>
        <xdr:cNvSpPr>
          <a:spLocks noChangeArrowheads="1"/>
        </xdr:cNvSpPr>
      </xdr:nvSpPr>
      <xdr:spPr bwMode="auto">
        <a:xfrm>
          <a:off x="7991475" y="3457574"/>
          <a:ext cx="3009900" cy="1057275"/>
        </a:xfrm>
        <a:prstGeom prst="wedgeRectCallout">
          <a:avLst>
            <a:gd name="adj1" fmla="val -77398"/>
            <a:gd name="adj2" fmla="val 15761"/>
          </a:avLst>
        </a:prstGeom>
        <a:ln>
          <a:headEnd/>
          <a:tailEnd/>
        </a:ln>
      </xdr:spPr>
      <xdr:style>
        <a:lnRef idx="1">
          <a:schemeClr val="accent5"/>
        </a:lnRef>
        <a:fillRef idx="2">
          <a:schemeClr val="accent5"/>
        </a:fillRef>
        <a:effectRef idx="1">
          <a:schemeClr val="accent5"/>
        </a:effectRef>
        <a:fontRef idx="minor">
          <a:schemeClr val="dk1"/>
        </a:fontRef>
      </xdr:style>
      <xdr:txBody>
        <a:bodyPr vertOverflow="clip" wrap="square" lIns="72000" tIns="72000" rIns="72000" bIns="72000" anchor="t" upright="1"/>
        <a:lstStyle/>
        <a:p>
          <a:pPr algn="l" rtl="0">
            <a:defRPr sz="1000"/>
          </a:pPr>
          <a:r>
            <a:rPr lang="sv-SE" sz="1000" b="0" i="0" u="none" strike="noStrike" baseline="0">
              <a:solidFill>
                <a:sysClr val="windowText" lastClr="000000"/>
              </a:solidFill>
              <a:latin typeface="Arial"/>
              <a:cs typeface="Arial"/>
            </a:rPr>
            <a:t>Om data för årlig energianvändning saknas  kan den uppskattas utifrån verklig effekt (alternativt märkeffekt) och årlig drifttid för utrustningen:</a:t>
          </a:r>
          <a:br>
            <a:rPr lang="sv-SE" sz="1000" b="0" i="0" u="none" strike="noStrike" baseline="0">
              <a:solidFill>
                <a:sysClr val="windowText" lastClr="000000"/>
              </a:solidFill>
              <a:latin typeface="Arial"/>
              <a:cs typeface="Arial"/>
            </a:rPr>
          </a:br>
          <a:r>
            <a:rPr lang="sv-SE" sz="1000" b="0" i="0" u="none" strike="noStrike" baseline="0">
              <a:solidFill>
                <a:sysClr val="windowText" lastClr="000000"/>
              </a:solidFill>
              <a:latin typeface="Arial"/>
              <a:cs typeface="Arial"/>
            </a:rPr>
            <a:t>Årligt energibehov = </a:t>
          </a:r>
          <a:br>
            <a:rPr lang="sv-SE" sz="1000" b="0" i="0" u="none" strike="noStrike" baseline="0">
              <a:solidFill>
                <a:sysClr val="windowText" lastClr="000000"/>
              </a:solidFill>
              <a:latin typeface="Arial"/>
              <a:cs typeface="Arial"/>
            </a:rPr>
          </a:br>
          <a:r>
            <a:rPr lang="sv-SE" sz="1000" b="0" i="0" u="none" strike="noStrike" baseline="0">
              <a:solidFill>
                <a:sysClr val="windowText" lastClr="000000"/>
              </a:solidFill>
              <a:latin typeface="Arial"/>
              <a:cs typeface="Arial"/>
            </a:rPr>
            <a:t>= effekt (kW) × drifttid (tim/år)</a:t>
          </a:r>
        </a:p>
      </xdr:txBody>
    </xdr:sp>
    <xdr:clientData/>
  </xdr:twoCellAnchor>
  <xdr:twoCellAnchor>
    <xdr:from>
      <xdr:col>6</xdr:col>
      <xdr:colOff>171450</xdr:colOff>
      <xdr:row>62</xdr:row>
      <xdr:rowOff>85725</xdr:rowOff>
    </xdr:from>
    <xdr:to>
      <xdr:col>10</xdr:col>
      <xdr:colOff>200025</xdr:colOff>
      <xdr:row>63</xdr:row>
      <xdr:rowOff>142875</xdr:rowOff>
    </xdr:to>
    <xdr:sp macro="" textlink="">
      <xdr:nvSpPr>
        <xdr:cNvPr id="3" name="AutoShape 70">
          <a:extLst>
            <a:ext uri="{FF2B5EF4-FFF2-40B4-BE49-F238E27FC236}">
              <a16:creationId xmlns:a16="http://schemas.microsoft.com/office/drawing/2014/main" id="{7AD88317-F55E-475C-8E59-547B5B2B9678}"/>
            </a:ext>
          </a:extLst>
        </xdr:cNvPr>
        <xdr:cNvSpPr>
          <a:spLocks noChangeArrowheads="1"/>
        </xdr:cNvSpPr>
      </xdr:nvSpPr>
      <xdr:spPr bwMode="auto">
        <a:xfrm>
          <a:off x="8010525" y="5067300"/>
          <a:ext cx="3009900" cy="619125"/>
        </a:xfrm>
        <a:prstGeom prst="wedgeRectCallout">
          <a:avLst>
            <a:gd name="adj1" fmla="val -80101"/>
            <a:gd name="adj2" fmla="val 43782"/>
          </a:avLst>
        </a:prstGeom>
        <a:ln>
          <a:headEnd/>
          <a:tailEnd/>
        </a:ln>
      </xdr:spPr>
      <xdr:style>
        <a:lnRef idx="1">
          <a:schemeClr val="accent5"/>
        </a:lnRef>
        <a:fillRef idx="2">
          <a:schemeClr val="accent5"/>
        </a:fillRef>
        <a:effectRef idx="1">
          <a:schemeClr val="accent5"/>
        </a:effectRef>
        <a:fontRef idx="minor">
          <a:schemeClr val="dk1"/>
        </a:fontRef>
      </xdr:style>
      <xdr:txBody>
        <a:bodyPr vertOverflow="clip" wrap="square" lIns="72000" tIns="72000" rIns="72000" bIns="72000" anchor="t" upright="1"/>
        <a:lstStyle/>
        <a:p>
          <a:pPr algn="l" rtl="0">
            <a:defRPr sz="1000"/>
          </a:pPr>
          <a:r>
            <a:rPr lang="sv-SE" sz="1000" b="0" i="0" u="none" strike="noStrike" baseline="0">
              <a:solidFill>
                <a:sysClr val="windowText" lastClr="000000"/>
              </a:solidFill>
              <a:latin typeface="Arial"/>
              <a:cs typeface="Arial"/>
            </a:rPr>
            <a:t>Här kan du inkludera övriga kostnader och mervärden som skiljer sig åt mellan alternativen.</a:t>
          </a:r>
        </a:p>
      </xdr:txBody>
    </xdr:sp>
    <xdr:clientData/>
  </xdr:twoCellAnchor>
  <xdr:twoCellAnchor>
    <xdr:from>
      <xdr:col>3</xdr:col>
      <xdr:colOff>542925</xdr:colOff>
      <xdr:row>2</xdr:row>
      <xdr:rowOff>133350</xdr:rowOff>
    </xdr:from>
    <xdr:to>
      <xdr:col>6</xdr:col>
      <xdr:colOff>457200</xdr:colOff>
      <xdr:row>6</xdr:row>
      <xdr:rowOff>114300</xdr:rowOff>
    </xdr:to>
    <xdr:sp macro="" textlink="">
      <xdr:nvSpPr>
        <xdr:cNvPr id="4" name="AutoShape 70">
          <a:extLst>
            <a:ext uri="{FF2B5EF4-FFF2-40B4-BE49-F238E27FC236}">
              <a16:creationId xmlns:a16="http://schemas.microsoft.com/office/drawing/2014/main" id="{34B97E35-9603-452A-8BA7-24E4EDA298D2}"/>
            </a:ext>
          </a:extLst>
        </xdr:cNvPr>
        <xdr:cNvSpPr>
          <a:spLocks noChangeArrowheads="1"/>
        </xdr:cNvSpPr>
      </xdr:nvSpPr>
      <xdr:spPr bwMode="auto">
        <a:xfrm>
          <a:off x="5781675" y="638175"/>
          <a:ext cx="2514600" cy="790575"/>
        </a:xfrm>
        <a:prstGeom prst="wedgeRectCallout">
          <a:avLst>
            <a:gd name="adj1" fmla="val -70447"/>
            <a:gd name="adj2" fmla="val 19503"/>
          </a:avLst>
        </a:prstGeom>
        <a:ln>
          <a:headEnd/>
          <a:tailEnd/>
        </a:ln>
      </xdr:spPr>
      <xdr:style>
        <a:lnRef idx="1">
          <a:schemeClr val="accent5"/>
        </a:lnRef>
        <a:fillRef idx="2">
          <a:schemeClr val="accent5"/>
        </a:fillRef>
        <a:effectRef idx="1">
          <a:schemeClr val="accent5"/>
        </a:effectRef>
        <a:fontRef idx="minor">
          <a:schemeClr val="dk1"/>
        </a:fontRef>
      </xdr:style>
      <xdr:txBody>
        <a:bodyPr vertOverflow="clip" wrap="square" lIns="72000" tIns="72000" rIns="72000" bIns="72000" anchor="t" upright="1"/>
        <a:lstStyle/>
        <a:p>
          <a:pPr algn="l" rtl="0">
            <a:defRPr sz="1000"/>
          </a:pPr>
          <a:r>
            <a:rPr lang="sv-SE" sz="1000" b="0" i="0" u="none" strike="noStrike" baseline="0">
              <a:solidFill>
                <a:sysClr val="windowText" lastClr="000000"/>
              </a:solidFill>
              <a:latin typeface="Arial"/>
              <a:cs typeface="Arial"/>
            </a:rPr>
            <a:t>Här anges den reala kalkylräntan, dvs räntan utöver inflationen. För mer information om räntan, se flik med förklaringar.</a:t>
          </a:r>
        </a:p>
      </xdr:txBody>
    </xdr:sp>
    <xdr:clientData/>
  </xdr:twoCellAnchor>
  <xdr:twoCellAnchor>
    <xdr:from>
      <xdr:col>5</xdr:col>
      <xdr:colOff>476250</xdr:colOff>
      <xdr:row>107</xdr:row>
      <xdr:rowOff>152400</xdr:rowOff>
    </xdr:from>
    <xdr:to>
      <xdr:col>10</xdr:col>
      <xdr:colOff>228600</xdr:colOff>
      <xdr:row>113</xdr:row>
      <xdr:rowOff>114300</xdr:rowOff>
    </xdr:to>
    <xdr:sp macro="" textlink="">
      <xdr:nvSpPr>
        <xdr:cNvPr id="5" name="AutoShape 70">
          <a:extLst>
            <a:ext uri="{FF2B5EF4-FFF2-40B4-BE49-F238E27FC236}">
              <a16:creationId xmlns:a16="http://schemas.microsoft.com/office/drawing/2014/main" id="{AB45E986-1FC0-46BF-B505-E5C96D268484}"/>
            </a:ext>
          </a:extLst>
        </xdr:cNvPr>
        <xdr:cNvSpPr>
          <a:spLocks noChangeArrowheads="1"/>
        </xdr:cNvSpPr>
      </xdr:nvSpPr>
      <xdr:spPr bwMode="auto">
        <a:xfrm>
          <a:off x="7658100" y="8829675"/>
          <a:ext cx="3390900" cy="1343025"/>
        </a:xfrm>
        <a:prstGeom prst="wedgeRectCallout">
          <a:avLst>
            <a:gd name="adj1" fmla="val -63002"/>
            <a:gd name="adj2" fmla="val -51378"/>
          </a:avLst>
        </a:prstGeom>
        <a:ln>
          <a:headEnd/>
          <a:tailEnd/>
        </a:ln>
      </xdr:spPr>
      <xdr:style>
        <a:lnRef idx="1">
          <a:schemeClr val="accent5"/>
        </a:lnRef>
        <a:fillRef idx="2">
          <a:schemeClr val="accent5"/>
        </a:fillRef>
        <a:effectRef idx="1">
          <a:schemeClr val="accent5"/>
        </a:effectRef>
        <a:fontRef idx="minor">
          <a:schemeClr val="dk1"/>
        </a:fontRef>
      </xdr:style>
      <xdr:txBody>
        <a:bodyPr vertOverflow="clip" wrap="square" lIns="72000" tIns="72000" rIns="72000" bIns="72000" anchor="t" upright="1"/>
        <a:lstStyle/>
        <a:p>
          <a:pPr algn="l" rtl="0">
            <a:defRPr sz="1000"/>
          </a:pPr>
          <a:r>
            <a:rPr lang="sv-SE" sz="1000" b="0" i="0" u="none" strike="noStrike" baseline="0">
              <a:solidFill>
                <a:sysClr val="windowText" lastClr="000000"/>
              </a:solidFill>
              <a:latin typeface="Arial"/>
              <a:cs typeface="Arial"/>
            </a:rPr>
            <a:t>Återbetalningstiden anger hur många år det tar innan de högre investeringskostnaderna för Alt B/C har betalat sig i form av lägre driftkostnader. Återbetalningstiden här tar ej hänsyn till följande:</a:t>
          </a:r>
        </a:p>
        <a:p>
          <a:pPr algn="l" rtl="0">
            <a:defRPr sz="1000"/>
          </a:pPr>
          <a:r>
            <a:rPr lang="sv-SE" sz="1000" b="0" i="0" u="none" strike="noStrike" baseline="0">
              <a:solidFill>
                <a:sysClr val="windowText" lastClr="000000"/>
              </a:solidFill>
              <a:latin typeface="Arial"/>
              <a:cs typeface="Arial"/>
            </a:rPr>
            <a:t>- kalkylränta</a:t>
          </a:r>
        </a:p>
        <a:p>
          <a:pPr algn="l" rtl="0">
            <a:defRPr sz="1000"/>
          </a:pPr>
          <a:r>
            <a:rPr lang="sv-SE" sz="1000" b="0" i="0" u="none" strike="noStrike" baseline="0">
              <a:solidFill>
                <a:sysClr val="windowText" lastClr="000000"/>
              </a:solidFill>
              <a:latin typeface="Arial"/>
              <a:cs typeface="Arial"/>
            </a:rPr>
            <a:t>- ev energiprisökning</a:t>
          </a:r>
        </a:p>
        <a:p>
          <a:pPr algn="l" rtl="0">
            <a:defRPr sz="1000"/>
          </a:pPr>
          <a:r>
            <a:rPr lang="sv-SE" sz="1000" b="0" i="0" u="none" strike="noStrike" baseline="0">
              <a:solidFill>
                <a:sysClr val="windowText" lastClr="000000"/>
              </a:solidFill>
              <a:latin typeface="Arial"/>
              <a:cs typeface="Arial"/>
            </a:rPr>
            <a:t>- restvärde</a:t>
          </a:r>
        </a:p>
        <a:p>
          <a:pPr algn="l" rtl="0">
            <a:defRPr sz="1000"/>
          </a:pPr>
          <a:r>
            <a:rPr lang="sv-SE" sz="1000" b="0" i="0" u="none" strike="noStrike" baseline="0">
              <a:solidFill>
                <a:sysClr val="windowText" lastClr="000000"/>
              </a:solidFill>
              <a:latin typeface="Arial"/>
              <a:cs typeface="Arial"/>
            </a:rPr>
            <a:t>- underhåll eller övriga kostnader angivna för enskilda år</a:t>
          </a:r>
        </a:p>
        <a:p>
          <a:pPr algn="l" rtl="0">
            <a:defRPr sz="1000"/>
          </a:pPr>
          <a:endParaRPr lang="sv-SE" sz="1000" b="0" i="0" u="none" strike="noStrike" baseline="0">
            <a:solidFill>
              <a:sysClr val="windowText" lastClr="000000"/>
            </a:solidFill>
            <a:latin typeface="Arial"/>
            <a:cs typeface="Arial"/>
          </a:endParaRPr>
        </a:p>
      </xdr:txBody>
    </xdr:sp>
    <xdr:clientData/>
  </xdr:twoCellAnchor>
  <xdr:twoCellAnchor>
    <xdr:from>
      <xdr:col>1</xdr:col>
      <xdr:colOff>0</xdr:colOff>
      <xdr:row>133</xdr:row>
      <xdr:rowOff>0</xdr:rowOff>
    </xdr:from>
    <xdr:to>
      <xdr:col>7</xdr:col>
      <xdr:colOff>38100</xdr:colOff>
      <xdr:row>145</xdr:row>
      <xdr:rowOff>133350</xdr:rowOff>
    </xdr:to>
    <xdr:graphicFrame macro="">
      <xdr:nvGraphicFramePr>
        <xdr:cNvPr id="10" name="Diagram 9">
          <a:extLst>
            <a:ext uri="{FF2B5EF4-FFF2-40B4-BE49-F238E27FC236}">
              <a16:creationId xmlns:a16="http://schemas.microsoft.com/office/drawing/2014/main" id="{C21B8CB2-89A0-465E-87D2-6C1ABCB14BBD}"/>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1581150</xdr:colOff>
      <xdr:row>147</xdr:row>
      <xdr:rowOff>180975</xdr:rowOff>
    </xdr:from>
    <xdr:to>
      <xdr:col>3</xdr:col>
      <xdr:colOff>914400</xdr:colOff>
      <xdr:row>162</xdr:row>
      <xdr:rowOff>57150</xdr:rowOff>
    </xdr:to>
    <xdr:graphicFrame macro="">
      <xdr:nvGraphicFramePr>
        <xdr:cNvPr id="11" name="Diagram 10">
          <a:extLst>
            <a:ext uri="{FF2B5EF4-FFF2-40B4-BE49-F238E27FC236}">
              <a16:creationId xmlns:a16="http://schemas.microsoft.com/office/drawing/2014/main" id="{13EE6B60-5289-4D33-B56D-C36A0935BE0A}"/>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190500</xdr:colOff>
      <xdr:row>102</xdr:row>
      <xdr:rowOff>104775</xdr:rowOff>
    </xdr:from>
    <xdr:to>
      <xdr:col>10</xdr:col>
      <xdr:colOff>228600</xdr:colOff>
      <xdr:row>107</xdr:row>
      <xdr:rowOff>19050</xdr:rowOff>
    </xdr:to>
    <xdr:sp macro="" textlink="">
      <xdr:nvSpPr>
        <xdr:cNvPr id="13" name="AutoShape 70">
          <a:extLst>
            <a:ext uri="{FF2B5EF4-FFF2-40B4-BE49-F238E27FC236}">
              <a16:creationId xmlns:a16="http://schemas.microsoft.com/office/drawing/2014/main" id="{C0C4CF26-A7A2-47A5-829B-FBBA46678CF5}"/>
            </a:ext>
          </a:extLst>
        </xdr:cNvPr>
        <xdr:cNvSpPr>
          <a:spLocks noChangeArrowheads="1"/>
        </xdr:cNvSpPr>
      </xdr:nvSpPr>
      <xdr:spPr bwMode="auto">
        <a:xfrm>
          <a:off x="8029575" y="7791450"/>
          <a:ext cx="3019425" cy="904875"/>
        </a:xfrm>
        <a:prstGeom prst="wedgeRectCallout">
          <a:avLst>
            <a:gd name="adj1" fmla="val -123925"/>
            <a:gd name="adj2" fmla="val 33856"/>
          </a:avLst>
        </a:prstGeom>
        <a:ln>
          <a:headEnd/>
          <a:tailEnd/>
        </a:ln>
      </xdr:spPr>
      <xdr:style>
        <a:lnRef idx="1">
          <a:schemeClr val="accent5"/>
        </a:lnRef>
        <a:fillRef idx="2">
          <a:schemeClr val="accent5"/>
        </a:fillRef>
        <a:effectRef idx="1">
          <a:schemeClr val="accent5"/>
        </a:effectRef>
        <a:fontRef idx="minor">
          <a:schemeClr val="dk1"/>
        </a:fontRef>
      </xdr:style>
      <xdr:txBody>
        <a:bodyPr vertOverflow="clip" wrap="square" lIns="72000" tIns="72000" rIns="72000" bIns="72000" anchor="t" upright="1"/>
        <a:lstStyle/>
        <a:p>
          <a:pPr algn="l" rtl="0">
            <a:defRPr sz="1000"/>
          </a:pPr>
          <a:r>
            <a:rPr lang="sv-SE" sz="1000" b="0" i="0" u="none" strike="noStrike" baseline="0">
              <a:solidFill>
                <a:sysClr val="windowText" lastClr="000000"/>
              </a:solidFill>
              <a:latin typeface="Arial"/>
              <a:cs typeface="Arial"/>
            </a:rPr>
            <a:t>För lönsamhetsbedömningen antas Alt A vara ett grundalternativ, som motsvarar att man inte gör någonting eller investerar i konventionell eller befintlig teknik. Sedan beräknas lönsamheten i att investera i Alt B eller C istället för att välja Alt A.</a:t>
          </a:r>
        </a:p>
      </xdr:txBody>
    </xdr:sp>
    <xdr:clientData/>
  </xdr:twoCellAnchor>
  <xdr:twoCellAnchor>
    <xdr:from>
      <xdr:col>1</xdr:col>
      <xdr:colOff>0</xdr:colOff>
      <xdr:row>116</xdr:row>
      <xdr:rowOff>133350</xdr:rowOff>
    </xdr:from>
    <xdr:to>
      <xdr:col>7</xdr:col>
      <xdr:colOff>38100</xdr:colOff>
      <xdr:row>129</xdr:row>
      <xdr:rowOff>114300</xdr:rowOff>
    </xdr:to>
    <xdr:graphicFrame macro="">
      <xdr:nvGraphicFramePr>
        <xdr:cNvPr id="14" name="Diagram 13">
          <a:extLst>
            <a:ext uri="{FF2B5EF4-FFF2-40B4-BE49-F238E27FC236}">
              <a16:creationId xmlns:a16="http://schemas.microsoft.com/office/drawing/2014/main" id="{161D97D3-0405-4A61-B03A-38E43DFD4ED9}"/>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209550</xdr:colOff>
      <xdr:row>117</xdr:row>
      <xdr:rowOff>85725</xdr:rowOff>
    </xdr:from>
    <xdr:to>
      <xdr:col>10</xdr:col>
      <xdr:colOff>219075</xdr:colOff>
      <xdr:row>121</xdr:row>
      <xdr:rowOff>114300</xdr:rowOff>
    </xdr:to>
    <xdr:sp macro="" textlink="">
      <xdr:nvSpPr>
        <xdr:cNvPr id="15" name="AutoShape 70">
          <a:extLst>
            <a:ext uri="{FF2B5EF4-FFF2-40B4-BE49-F238E27FC236}">
              <a16:creationId xmlns:a16="http://schemas.microsoft.com/office/drawing/2014/main" id="{C1B2F121-89A6-448D-8501-51947F3A02D4}"/>
            </a:ext>
          </a:extLst>
        </xdr:cNvPr>
        <xdr:cNvSpPr>
          <a:spLocks noChangeArrowheads="1"/>
        </xdr:cNvSpPr>
      </xdr:nvSpPr>
      <xdr:spPr bwMode="auto">
        <a:xfrm>
          <a:off x="8963025" y="10610850"/>
          <a:ext cx="2076450" cy="790575"/>
        </a:xfrm>
        <a:prstGeom prst="wedgeRectCallout">
          <a:avLst>
            <a:gd name="adj1" fmla="val -36473"/>
            <a:gd name="adj2" fmla="val 15007"/>
          </a:avLst>
        </a:prstGeom>
        <a:ln>
          <a:headEnd/>
          <a:tailEnd/>
        </a:ln>
      </xdr:spPr>
      <xdr:style>
        <a:lnRef idx="1">
          <a:schemeClr val="accent5"/>
        </a:lnRef>
        <a:fillRef idx="2">
          <a:schemeClr val="accent5"/>
        </a:fillRef>
        <a:effectRef idx="1">
          <a:schemeClr val="accent5"/>
        </a:effectRef>
        <a:fontRef idx="minor">
          <a:schemeClr val="dk1"/>
        </a:fontRef>
      </xdr:style>
      <xdr:txBody>
        <a:bodyPr vertOverflow="clip" wrap="square" lIns="72000" tIns="72000" rIns="72000" bIns="72000" anchor="t" upright="1"/>
        <a:lstStyle/>
        <a:p>
          <a:pPr algn="l" rtl="0">
            <a:defRPr sz="1000"/>
          </a:pPr>
          <a:r>
            <a:rPr lang="sv-SE" sz="1000" b="0" i="0" u="none" strike="noStrike" baseline="0">
              <a:solidFill>
                <a:sysClr val="windowText" lastClr="000000"/>
              </a:solidFill>
              <a:latin typeface="Arial"/>
              <a:cs typeface="Arial"/>
            </a:rPr>
            <a:t>OBS! Diagrammet för visualisering av LCC fungerar bäst när alla kostnader tas med och är positiva.</a:t>
          </a:r>
        </a:p>
        <a:p>
          <a:pPr algn="l" rtl="0">
            <a:defRPr sz="1000"/>
          </a:pPr>
          <a:endParaRPr lang="sv-SE" sz="1000" b="0" i="0" u="none" strike="noStrike" baseline="0">
            <a:solidFill>
              <a:sysClr val="windowText" lastClr="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136</xdr:row>
      <xdr:rowOff>0</xdr:rowOff>
    </xdr:from>
    <xdr:to>
      <xdr:col>7</xdr:col>
      <xdr:colOff>38100</xdr:colOff>
      <xdr:row>148</xdr:row>
      <xdr:rowOff>133350</xdr:rowOff>
    </xdr:to>
    <xdr:graphicFrame macro="">
      <xdr:nvGraphicFramePr>
        <xdr:cNvPr id="6" name="Diagram 5">
          <a:extLst>
            <a:ext uri="{FF2B5EF4-FFF2-40B4-BE49-F238E27FC236}">
              <a16:creationId xmlns:a16="http://schemas.microsoft.com/office/drawing/2014/main" id="{2FB90E53-0DE0-4EB4-B03F-828F2B5D3BF3}"/>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1581150</xdr:colOff>
      <xdr:row>150</xdr:row>
      <xdr:rowOff>180975</xdr:rowOff>
    </xdr:from>
    <xdr:to>
      <xdr:col>3</xdr:col>
      <xdr:colOff>914400</xdr:colOff>
      <xdr:row>165</xdr:row>
      <xdr:rowOff>57150</xdr:rowOff>
    </xdr:to>
    <xdr:graphicFrame macro="">
      <xdr:nvGraphicFramePr>
        <xdr:cNvPr id="7" name="Diagram 6">
          <a:extLst>
            <a:ext uri="{FF2B5EF4-FFF2-40B4-BE49-F238E27FC236}">
              <a16:creationId xmlns:a16="http://schemas.microsoft.com/office/drawing/2014/main" id="{C3C2BE53-4F4F-42AC-988E-BB801703219E}"/>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119</xdr:row>
      <xdr:rowOff>133350</xdr:rowOff>
    </xdr:from>
    <xdr:to>
      <xdr:col>7</xdr:col>
      <xdr:colOff>38100</xdr:colOff>
      <xdr:row>132</xdr:row>
      <xdr:rowOff>114300</xdr:rowOff>
    </xdr:to>
    <xdr:graphicFrame macro="">
      <xdr:nvGraphicFramePr>
        <xdr:cNvPr id="9" name="Diagram 8">
          <a:extLst>
            <a:ext uri="{FF2B5EF4-FFF2-40B4-BE49-F238E27FC236}">
              <a16:creationId xmlns:a16="http://schemas.microsoft.com/office/drawing/2014/main" id="{80D4426A-D06A-4757-B6BC-8995B2BC176C}"/>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914399</xdr:colOff>
      <xdr:row>24</xdr:row>
      <xdr:rowOff>85725</xdr:rowOff>
    </xdr:from>
    <xdr:to>
      <xdr:col>8</xdr:col>
      <xdr:colOff>523874</xdr:colOff>
      <xdr:row>30</xdr:row>
      <xdr:rowOff>19050</xdr:rowOff>
    </xdr:to>
    <xdr:sp macro="" textlink="">
      <xdr:nvSpPr>
        <xdr:cNvPr id="11" name="AutoShape 70">
          <a:extLst>
            <a:ext uri="{FF2B5EF4-FFF2-40B4-BE49-F238E27FC236}">
              <a16:creationId xmlns:a16="http://schemas.microsoft.com/office/drawing/2014/main" id="{184867DF-A6E4-48D7-A7F8-C48051339BB5}"/>
            </a:ext>
          </a:extLst>
        </xdr:cNvPr>
        <xdr:cNvSpPr>
          <a:spLocks noChangeArrowheads="1"/>
        </xdr:cNvSpPr>
      </xdr:nvSpPr>
      <xdr:spPr bwMode="auto">
        <a:xfrm>
          <a:off x="8753474" y="4067175"/>
          <a:ext cx="3171825" cy="1695450"/>
        </a:xfrm>
        <a:prstGeom prst="wedgeRectCallout">
          <a:avLst>
            <a:gd name="adj1" fmla="val -48856"/>
            <a:gd name="adj2" fmla="val 25527"/>
          </a:avLst>
        </a:prstGeom>
        <a:solidFill>
          <a:schemeClr val="accent6">
            <a:lumMod val="40000"/>
            <a:lumOff val="60000"/>
          </a:schemeClr>
        </a:solidFill>
        <a:ln>
          <a:solidFill>
            <a:schemeClr val="tx1"/>
          </a:solidFill>
          <a:headEnd/>
          <a:tailEnd/>
        </a:ln>
      </xdr:spPr>
      <xdr:style>
        <a:lnRef idx="1">
          <a:schemeClr val="accent6"/>
        </a:lnRef>
        <a:fillRef idx="2">
          <a:schemeClr val="accent6"/>
        </a:fillRef>
        <a:effectRef idx="1">
          <a:schemeClr val="accent6"/>
        </a:effectRef>
        <a:fontRef idx="minor">
          <a:schemeClr val="dk1"/>
        </a:fontRef>
      </xdr:style>
      <xdr:txBody>
        <a:bodyPr vertOverflow="clip" wrap="square" lIns="72000" tIns="72000" rIns="72000" bIns="72000" anchor="t" upright="1"/>
        <a:lstStyle/>
        <a:p>
          <a:pPr algn="l" rtl="0">
            <a:defRPr sz="1000"/>
          </a:pPr>
          <a:r>
            <a:rPr lang="sv-SE" sz="1100" b="1" i="0" u="none" strike="noStrike" baseline="0">
              <a:solidFill>
                <a:sysClr val="windowText" lastClr="000000"/>
              </a:solidFill>
              <a:latin typeface="+mn-lt"/>
              <a:cs typeface="Arial"/>
            </a:rPr>
            <a:t>Kostnader</a:t>
          </a:r>
        </a:p>
        <a:p>
          <a:pPr algn="l" rtl="0">
            <a:defRPr sz="1000"/>
          </a:pPr>
          <a:r>
            <a:rPr lang="sv-SE" sz="1000" b="0" i="1" u="none" strike="noStrike" baseline="0">
              <a:solidFill>
                <a:sysClr val="windowText" lastClr="000000"/>
              </a:solidFill>
              <a:latin typeface="+mn-lt"/>
              <a:cs typeface="Arial"/>
            </a:rPr>
            <a:t>Endast för indikation</a:t>
          </a:r>
        </a:p>
        <a:p>
          <a:pPr algn="l" rtl="0">
            <a:defRPr sz="1000"/>
          </a:pPr>
          <a:endParaRPr lang="sv-SE" sz="1100" b="1" i="0" u="none" strike="noStrike" baseline="0">
            <a:solidFill>
              <a:sysClr val="windowText" lastClr="000000"/>
            </a:solidFill>
            <a:latin typeface="+mn-lt"/>
            <a:cs typeface="Arial"/>
          </a:endParaRPr>
        </a:p>
        <a:p>
          <a:pPr algn="l" rtl="0">
            <a:defRPr sz="1000"/>
          </a:pPr>
          <a:r>
            <a:rPr lang="sv-SE" sz="1100" b="0" i="0" u="none" strike="noStrike" baseline="0">
              <a:solidFill>
                <a:sysClr val="windowText" lastClr="000000"/>
              </a:solidFill>
              <a:latin typeface="+mn-lt"/>
              <a:cs typeface="Arial"/>
            </a:rPr>
            <a:t>Exempel Enkelpump:</a:t>
          </a:r>
        </a:p>
        <a:p>
          <a:pPr algn="l" rtl="0">
            <a:defRPr sz="1000"/>
          </a:pPr>
          <a:r>
            <a:rPr lang="sv-SE" sz="1100" b="0" i="0" u="none" strike="noStrike" baseline="0">
              <a:solidFill>
                <a:sysClr val="windowText" lastClr="000000"/>
              </a:solidFill>
              <a:latin typeface="+mn-lt"/>
              <a:cs typeface="Arial"/>
            </a:rPr>
            <a:t>Mindre pump: 3500 kr</a:t>
          </a:r>
        </a:p>
        <a:p>
          <a:pPr algn="l" rtl="0">
            <a:defRPr sz="1000"/>
          </a:pPr>
          <a:r>
            <a:rPr lang="sv-SE" sz="1100" b="0" i="0" u="none" strike="noStrike" baseline="0">
              <a:solidFill>
                <a:sysClr val="windowText" lastClr="000000"/>
              </a:solidFill>
              <a:latin typeface="+mn-lt"/>
              <a:cs typeface="Arial"/>
            </a:rPr>
            <a:t>Mellanstor pump: 7000 kr</a:t>
          </a:r>
        </a:p>
        <a:p>
          <a:pPr algn="l" rtl="0">
            <a:defRPr sz="1000"/>
          </a:pPr>
          <a:r>
            <a:rPr lang="sv-SE" sz="1100" b="0" i="0" u="none" strike="noStrike" baseline="0">
              <a:solidFill>
                <a:sysClr val="windowText" lastClr="000000"/>
              </a:solidFill>
              <a:latin typeface="+mn-lt"/>
              <a:cs typeface="Arial"/>
            </a:rPr>
            <a:t>Stor pump: 14000 kr</a:t>
          </a:r>
        </a:p>
        <a:p>
          <a:pPr algn="l" rtl="0">
            <a:defRPr sz="1000"/>
          </a:pPr>
          <a:endParaRPr lang="sv-SE" sz="1100" b="0" i="0" u="none" strike="noStrike" baseline="0">
            <a:solidFill>
              <a:sysClr val="windowText" lastClr="000000"/>
            </a:solidFill>
            <a:latin typeface="+mn-lt"/>
            <a:cs typeface="Arial"/>
          </a:endParaRPr>
        </a:p>
        <a:p>
          <a:pPr algn="l" rtl="0">
            <a:defRPr sz="1000"/>
          </a:pPr>
          <a:r>
            <a:rPr lang="sv-SE" sz="1100" b="0" i="0" u="none" strike="noStrike" baseline="0">
              <a:solidFill>
                <a:sysClr val="windowText" lastClr="000000"/>
              </a:solidFill>
              <a:latin typeface="+mn-lt"/>
              <a:cs typeface="Arial"/>
            </a:rPr>
            <a:t>Arbetskostnad ca 2000 kr för byte av mindre pump.</a:t>
          </a:r>
        </a:p>
      </xdr:txBody>
    </xdr:sp>
    <xdr:clientData/>
  </xdr:twoCellAnchor>
  <xdr:twoCellAnchor>
    <xdr:from>
      <xdr:col>6</xdr:col>
      <xdr:colOff>914399</xdr:colOff>
      <xdr:row>13</xdr:row>
      <xdr:rowOff>19050</xdr:rowOff>
    </xdr:from>
    <xdr:to>
      <xdr:col>8</xdr:col>
      <xdr:colOff>523874</xdr:colOff>
      <xdr:row>19</xdr:row>
      <xdr:rowOff>180975</xdr:rowOff>
    </xdr:to>
    <xdr:sp macro="" textlink="">
      <xdr:nvSpPr>
        <xdr:cNvPr id="12" name="AutoShape 70">
          <a:extLst>
            <a:ext uri="{FF2B5EF4-FFF2-40B4-BE49-F238E27FC236}">
              <a16:creationId xmlns:a16="http://schemas.microsoft.com/office/drawing/2014/main" id="{E6A9E07C-3F54-4FCE-84E7-3FBC17489E03}"/>
            </a:ext>
          </a:extLst>
        </xdr:cNvPr>
        <xdr:cNvSpPr>
          <a:spLocks noChangeArrowheads="1"/>
        </xdr:cNvSpPr>
      </xdr:nvSpPr>
      <xdr:spPr bwMode="auto">
        <a:xfrm>
          <a:off x="8753474" y="2667000"/>
          <a:ext cx="3171825" cy="1304925"/>
        </a:xfrm>
        <a:prstGeom prst="wedgeRectCallout">
          <a:avLst>
            <a:gd name="adj1" fmla="val -48856"/>
            <a:gd name="adj2" fmla="val 25527"/>
          </a:avLst>
        </a:prstGeom>
        <a:solidFill>
          <a:schemeClr val="accent6">
            <a:lumMod val="40000"/>
            <a:lumOff val="60000"/>
          </a:schemeClr>
        </a:solidFill>
        <a:ln>
          <a:solidFill>
            <a:schemeClr val="tx1"/>
          </a:solidFill>
          <a:headEnd/>
          <a:tailEnd/>
        </a:ln>
      </xdr:spPr>
      <xdr:style>
        <a:lnRef idx="1">
          <a:schemeClr val="accent6"/>
        </a:lnRef>
        <a:fillRef idx="2">
          <a:schemeClr val="accent6"/>
        </a:fillRef>
        <a:effectRef idx="1">
          <a:schemeClr val="accent6"/>
        </a:effectRef>
        <a:fontRef idx="minor">
          <a:schemeClr val="dk1"/>
        </a:fontRef>
      </xdr:style>
      <xdr:txBody>
        <a:bodyPr vertOverflow="clip" wrap="square" lIns="72000" tIns="72000" rIns="72000" bIns="72000" anchor="t" upright="1"/>
        <a:lstStyle/>
        <a:p>
          <a:pPr algn="l" rtl="0">
            <a:defRPr sz="1000"/>
          </a:pPr>
          <a:r>
            <a:rPr lang="sv-SE" sz="1100" b="1" i="0" u="none" strike="noStrike" baseline="0">
              <a:solidFill>
                <a:sysClr val="windowText" lastClr="000000"/>
              </a:solidFill>
              <a:latin typeface="+mn-lt"/>
              <a:cs typeface="Arial"/>
            </a:rPr>
            <a:t>Fakta cirkulationspumpar</a:t>
          </a:r>
        </a:p>
        <a:p>
          <a:pPr algn="l" rtl="0">
            <a:defRPr sz="1000"/>
          </a:pPr>
          <a:r>
            <a:rPr lang="sv-SE" sz="1000" b="0" i="1" u="none" strike="noStrike" baseline="0">
              <a:solidFill>
                <a:sysClr val="windowText" lastClr="000000"/>
              </a:solidFill>
              <a:latin typeface="+mn-lt"/>
              <a:cs typeface="Arial"/>
            </a:rPr>
            <a:t>Endast för indikation</a:t>
          </a:r>
        </a:p>
        <a:p>
          <a:pPr algn="l" rtl="0">
            <a:defRPr sz="1000"/>
          </a:pPr>
          <a:endParaRPr lang="sv-SE" sz="1100" b="1" i="0" u="none" strike="noStrike" baseline="0">
            <a:solidFill>
              <a:sysClr val="windowText" lastClr="000000"/>
            </a:solidFill>
            <a:latin typeface="+mn-lt"/>
            <a:cs typeface="Arial"/>
          </a:endParaRPr>
        </a:p>
        <a:p>
          <a:pPr algn="l" rtl="0">
            <a:defRPr sz="1000"/>
          </a:pPr>
          <a:r>
            <a:rPr lang="sv-SE" sz="1100" b="0" i="0" u="none" strike="noStrike" baseline="0">
              <a:solidFill>
                <a:sysClr val="windowText" lastClr="000000"/>
              </a:solidFill>
              <a:latin typeface="+mn-lt"/>
              <a:cs typeface="Arial"/>
            </a:rPr>
            <a:t>En ny tryckstyrd pump med energiklass A har en energibesparing motsvarande 60 - 80 procent jämfört med en äldre pump av standardmodell.</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V203"/>
  <sheetViews>
    <sheetView showGridLines="0" topLeftCell="B117" zoomScaleNormal="100" workbookViewId="0"/>
  </sheetViews>
  <sheetFormatPr defaultRowHeight="14.5" outlineLevelRow="1" x14ac:dyDescent="0.35"/>
  <cols>
    <col min="1" max="1" width="24" customWidth="1"/>
    <col min="2" max="2" width="40" customWidth="1"/>
    <col min="3" max="5" width="14.54296875" customWidth="1"/>
    <col min="6" max="6" width="9.81640625" customWidth="1"/>
    <col min="7" max="7" width="13.7265625" customWidth="1"/>
    <col min="8" max="8" width="12.54296875" customWidth="1"/>
    <col min="9" max="9" width="9.26953125" customWidth="1"/>
    <col min="13" max="13" width="11.1796875" customWidth="1"/>
    <col min="14" max="15" width="10.7265625" customWidth="1"/>
  </cols>
  <sheetData>
    <row r="1" spans="1:18" ht="24" thickBot="1" x14ac:dyDescent="0.6">
      <c r="A1" s="21" t="s">
        <v>24</v>
      </c>
      <c r="B1" s="21"/>
      <c r="C1" s="21"/>
      <c r="D1" s="21"/>
      <c r="E1" s="21"/>
      <c r="F1" s="21"/>
    </row>
    <row r="2" spans="1:18" ht="15" thickTop="1" x14ac:dyDescent="0.35">
      <c r="A2" s="11"/>
    </row>
    <row r="3" spans="1:18" ht="17.5" thickBot="1" x14ac:dyDescent="0.45">
      <c r="A3" s="11"/>
      <c r="B3" s="9" t="s">
        <v>25</v>
      </c>
      <c r="C3" s="9"/>
      <c r="D3" s="9"/>
      <c r="E3" s="9"/>
    </row>
    <row r="4" spans="1:18" ht="15" thickTop="1" x14ac:dyDescent="0.35">
      <c r="A4" s="12"/>
    </row>
    <row r="5" spans="1:18" x14ac:dyDescent="0.35">
      <c r="A5" s="12"/>
      <c r="B5" t="s">
        <v>70</v>
      </c>
      <c r="C5" s="5">
        <v>20</v>
      </c>
    </row>
    <row r="6" spans="1:18" x14ac:dyDescent="0.35">
      <c r="A6" s="12"/>
      <c r="B6" t="s">
        <v>0</v>
      </c>
      <c r="C6" s="7">
        <v>0.05</v>
      </c>
    </row>
    <row r="7" spans="1:18" x14ac:dyDescent="0.35">
      <c r="A7" s="12"/>
    </row>
    <row r="8" spans="1:18" ht="15" customHeight="1" x14ac:dyDescent="0.35">
      <c r="A8" s="46" t="s">
        <v>47</v>
      </c>
      <c r="B8" t="s">
        <v>3</v>
      </c>
      <c r="C8" s="5" t="s">
        <v>12</v>
      </c>
    </row>
    <row r="9" spans="1:18" x14ac:dyDescent="0.35">
      <c r="A9" s="46"/>
      <c r="B9" t="s">
        <v>11</v>
      </c>
      <c r="C9" s="28">
        <v>1</v>
      </c>
      <c r="R9" s="6"/>
    </row>
    <row r="10" spans="1:18" ht="15" hidden="1" customHeight="1" outlineLevel="1" x14ac:dyDescent="0.35">
      <c r="A10" s="46"/>
      <c r="B10" t="s">
        <v>48</v>
      </c>
      <c r="C10" s="7"/>
    </row>
    <row r="11" spans="1:18" ht="15" customHeight="1" collapsed="1" x14ac:dyDescent="0.35">
      <c r="A11" s="46"/>
      <c r="B11" t="s">
        <v>4</v>
      </c>
      <c r="C11" s="5"/>
    </row>
    <row r="12" spans="1:18" x14ac:dyDescent="0.35">
      <c r="A12" s="46"/>
      <c r="B12" t="s">
        <v>11</v>
      </c>
      <c r="C12" s="8"/>
    </row>
    <row r="13" spans="1:18" ht="15" hidden="1" customHeight="1" outlineLevel="1" x14ac:dyDescent="0.35">
      <c r="A13" s="46"/>
      <c r="B13" t="s">
        <v>48</v>
      </c>
      <c r="C13" s="7"/>
    </row>
    <row r="14" spans="1:18" collapsed="1" x14ac:dyDescent="0.35">
      <c r="A14" s="46"/>
      <c r="B14" t="s">
        <v>8</v>
      </c>
      <c r="C14" s="5"/>
    </row>
    <row r="15" spans="1:18" x14ac:dyDescent="0.35">
      <c r="A15" s="46"/>
      <c r="B15" t="s">
        <v>11</v>
      </c>
      <c r="C15" s="8"/>
    </row>
    <row r="16" spans="1:18" ht="15" hidden="1" customHeight="1" outlineLevel="1" x14ac:dyDescent="0.35">
      <c r="A16" s="46"/>
      <c r="B16" t="s">
        <v>48</v>
      </c>
      <c r="C16" s="7"/>
    </row>
    <row r="17" spans="1:5" collapsed="1" x14ac:dyDescent="0.35">
      <c r="A17" s="46"/>
    </row>
    <row r="18" spans="1:5" hidden="1" x14ac:dyDescent="0.35">
      <c r="A18" s="12"/>
      <c r="B18" s="27" t="s">
        <v>54</v>
      </c>
      <c r="C18" s="25">
        <f>IF($C$6=0,$C$5,(1-(1+$C$6)^-$C$5)/$C$6)</f>
        <v>12.462210342539986</v>
      </c>
    </row>
    <row r="19" spans="1:5" hidden="1" x14ac:dyDescent="0.35">
      <c r="A19" s="26"/>
      <c r="B19" s="27" t="s">
        <v>55</v>
      </c>
      <c r="C19" s="25">
        <f>IF($C$6=$C$10,$C$5,((1-((1+$C$10)/(1+$C$6))^$C$5)/((1+$C$6)/(1+$C$10)-1)))</f>
        <v>12.462210342539979</v>
      </c>
    </row>
    <row r="20" spans="1:5" hidden="1" x14ac:dyDescent="0.35">
      <c r="A20" s="26"/>
      <c r="B20" s="27" t="s">
        <v>56</v>
      </c>
      <c r="C20" s="25">
        <f>IF($C$6=$C$13,$C$5,((1-((1+$C$13)/(1+$C$6))^$C$5)/((1+$C$6)/(1+$C$13)-1)))</f>
        <v>12.462210342539979</v>
      </c>
    </row>
    <row r="21" spans="1:5" hidden="1" x14ac:dyDescent="0.35">
      <c r="A21" s="26"/>
      <c r="B21" s="27" t="s">
        <v>57</v>
      </c>
      <c r="C21" s="25">
        <f>IF($C$6=$C$16,$C$5,((1-((1+$C$16)/(1+$C$6))^$C$5)/((1+$C$6)/(1+$C$16)-1)))</f>
        <v>12.462210342539979</v>
      </c>
    </row>
    <row r="22" spans="1:5" x14ac:dyDescent="0.35">
      <c r="A22" s="12"/>
    </row>
    <row r="23" spans="1:5" ht="17.5" thickBot="1" x14ac:dyDescent="0.45">
      <c r="A23" s="12"/>
      <c r="B23" s="9" t="s">
        <v>26</v>
      </c>
      <c r="C23" s="9"/>
      <c r="D23" s="9"/>
      <c r="E23" s="9"/>
    </row>
    <row r="24" spans="1:5" ht="15" thickTop="1" x14ac:dyDescent="0.35">
      <c r="A24" s="12"/>
      <c r="C24" s="2" t="s">
        <v>13</v>
      </c>
      <c r="D24" s="2" t="s">
        <v>14</v>
      </c>
      <c r="E24" s="2" t="s">
        <v>15</v>
      </c>
    </row>
    <row r="25" spans="1:5" x14ac:dyDescent="0.35">
      <c r="A25" s="12"/>
      <c r="B25" t="s">
        <v>10</v>
      </c>
      <c r="C25" s="3" t="s">
        <v>82</v>
      </c>
      <c r="D25" s="3"/>
      <c r="E25" s="3"/>
    </row>
    <row r="26" spans="1:5" x14ac:dyDescent="0.35">
      <c r="A26" s="12"/>
      <c r="B26" t="s">
        <v>1</v>
      </c>
      <c r="C26" s="5"/>
      <c r="D26" s="5"/>
      <c r="E26" s="5"/>
    </row>
    <row r="27" spans="1:5" x14ac:dyDescent="0.35">
      <c r="A27" s="12"/>
      <c r="C27" s="4"/>
      <c r="D27" s="4"/>
      <c r="E27" s="4"/>
    </row>
    <row r="28" spans="1:5" ht="15" customHeight="1" x14ac:dyDescent="0.35">
      <c r="A28" s="13"/>
      <c r="B28" t="s">
        <v>16</v>
      </c>
      <c r="C28" s="5"/>
      <c r="D28" s="5"/>
      <c r="E28" s="5"/>
    </row>
    <row r="29" spans="1:5" x14ac:dyDescent="0.35">
      <c r="A29" s="12"/>
      <c r="B29" t="s">
        <v>17</v>
      </c>
      <c r="C29" s="5"/>
      <c r="D29" s="5"/>
      <c r="E29" s="5"/>
    </row>
    <row r="30" spans="1:5" x14ac:dyDescent="0.35">
      <c r="A30" s="12"/>
      <c r="B30" t="s">
        <v>18</v>
      </c>
      <c r="C30" s="5"/>
      <c r="D30" s="5"/>
      <c r="E30" s="5"/>
    </row>
    <row r="31" spans="1:5" x14ac:dyDescent="0.35">
      <c r="A31" s="12"/>
      <c r="C31" s="4"/>
      <c r="D31" s="4"/>
      <c r="E31" s="4"/>
    </row>
    <row r="32" spans="1:5" x14ac:dyDescent="0.35">
      <c r="A32" s="12"/>
      <c r="B32" t="s">
        <v>19</v>
      </c>
      <c r="C32" s="33"/>
      <c r="D32" s="33"/>
      <c r="E32" s="33"/>
    </row>
    <row r="33" spans="1:6" hidden="1" outlineLevel="1" x14ac:dyDescent="0.35">
      <c r="A33" s="12"/>
      <c r="B33" s="6" t="s">
        <v>20</v>
      </c>
      <c r="C33" s="33"/>
      <c r="D33" s="33"/>
      <c r="E33" s="33"/>
      <c r="F33" s="20">
        <f>(1+$C$6)^-1</f>
        <v>0.95238095238095233</v>
      </c>
    </row>
    <row r="34" spans="1:6" hidden="1" outlineLevel="1" x14ac:dyDescent="0.35">
      <c r="A34" s="12"/>
      <c r="B34" s="6" t="s">
        <v>21</v>
      </c>
      <c r="C34" s="34"/>
      <c r="D34" s="33"/>
      <c r="E34" s="33"/>
      <c r="F34" s="20">
        <f>(1+$C$6)^-2</f>
        <v>0.90702947845804982</v>
      </c>
    </row>
    <row r="35" spans="1:6" hidden="1" outlineLevel="1" x14ac:dyDescent="0.35">
      <c r="A35" s="12"/>
      <c r="B35">
        <v>3</v>
      </c>
      <c r="C35" s="33"/>
      <c r="D35" s="33"/>
      <c r="E35" s="33"/>
      <c r="F35" s="20">
        <f>(1+$C$6)^-B35</f>
        <v>0.86383759853147601</v>
      </c>
    </row>
    <row r="36" spans="1:6" hidden="1" outlineLevel="1" x14ac:dyDescent="0.35">
      <c r="A36" s="12"/>
      <c r="B36">
        <v>4</v>
      </c>
      <c r="C36" s="33"/>
      <c r="D36" s="33"/>
      <c r="E36" s="33"/>
      <c r="F36" s="20">
        <f t="shared" ref="F36:F62" si="0">(1+$C$6)^-B36</f>
        <v>0.82270247479188197</v>
      </c>
    </row>
    <row r="37" spans="1:6" hidden="1" outlineLevel="1" x14ac:dyDescent="0.35">
      <c r="A37" s="12"/>
      <c r="B37">
        <v>5</v>
      </c>
      <c r="C37" s="33"/>
      <c r="D37" s="33"/>
      <c r="E37" s="33"/>
      <c r="F37" s="20">
        <f t="shared" si="0"/>
        <v>0.78352616646845896</v>
      </c>
    </row>
    <row r="38" spans="1:6" hidden="1" outlineLevel="1" x14ac:dyDescent="0.35">
      <c r="A38" s="12"/>
      <c r="B38">
        <v>6</v>
      </c>
      <c r="C38" s="33"/>
      <c r="D38" s="33"/>
      <c r="E38" s="33"/>
      <c r="F38" s="20">
        <f t="shared" si="0"/>
        <v>0.74621539663662761</v>
      </c>
    </row>
    <row r="39" spans="1:6" hidden="1" outlineLevel="1" x14ac:dyDescent="0.35">
      <c r="A39" s="12"/>
      <c r="B39">
        <v>7</v>
      </c>
      <c r="C39" s="33"/>
      <c r="D39" s="33"/>
      <c r="E39" s="33"/>
      <c r="F39" s="20">
        <f t="shared" si="0"/>
        <v>0.71068133013012147</v>
      </c>
    </row>
    <row r="40" spans="1:6" hidden="1" outlineLevel="1" x14ac:dyDescent="0.35">
      <c r="A40" s="12"/>
      <c r="B40">
        <v>8</v>
      </c>
      <c r="C40" s="33"/>
      <c r="D40" s="33"/>
      <c r="E40" s="33"/>
      <c r="F40" s="20">
        <f t="shared" si="0"/>
        <v>0.67683936202868722</v>
      </c>
    </row>
    <row r="41" spans="1:6" hidden="1" outlineLevel="1" x14ac:dyDescent="0.35">
      <c r="A41" s="12"/>
      <c r="B41">
        <v>9</v>
      </c>
      <c r="C41" s="33"/>
      <c r="D41" s="33"/>
      <c r="E41" s="33"/>
      <c r="F41" s="20">
        <f t="shared" si="0"/>
        <v>0.64460891621779726</v>
      </c>
    </row>
    <row r="42" spans="1:6" hidden="1" outlineLevel="1" x14ac:dyDescent="0.35">
      <c r="A42" s="12"/>
      <c r="B42">
        <v>10</v>
      </c>
      <c r="C42" s="33"/>
      <c r="D42" s="33"/>
      <c r="E42" s="33"/>
      <c r="F42" s="20">
        <f t="shared" si="0"/>
        <v>0.61391325354075932</v>
      </c>
    </row>
    <row r="43" spans="1:6" hidden="1" outlineLevel="1" x14ac:dyDescent="0.35">
      <c r="A43" s="12"/>
      <c r="B43">
        <v>11</v>
      </c>
      <c r="C43" s="33"/>
      <c r="D43" s="33"/>
      <c r="E43" s="33"/>
      <c r="F43" s="20">
        <f t="shared" si="0"/>
        <v>0.5846792890864374</v>
      </c>
    </row>
    <row r="44" spans="1:6" hidden="1" outlineLevel="1" x14ac:dyDescent="0.35">
      <c r="A44" s="12"/>
      <c r="B44">
        <v>12</v>
      </c>
      <c r="C44" s="33"/>
      <c r="D44" s="33"/>
      <c r="E44" s="33"/>
      <c r="F44" s="20">
        <f t="shared" si="0"/>
        <v>0.5568374181775595</v>
      </c>
    </row>
    <row r="45" spans="1:6" hidden="1" outlineLevel="1" x14ac:dyDescent="0.35">
      <c r="A45" s="12"/>
      <c r="B45">
        <v>13</v>
      </c>
      <c r="C45" s="33"/>
      <c r="D45" s="33"/>
      <c r="E45" s="33"/>
      <c r="F45" s="20">
        <f t="shared" si="0"/>
        <v>0.53032135064529462</v>
      </c>
    </row>
    <row r="46" spans="1:6" hidden="1" outlineLevel="1" x14ac:dyDescent="0.35">
      <c r="A46" s="12"/>
      <c r="B46">
        <v>14</v>
      </c>
      <c r="C46" s="33"/>
      <c r="D46" s="33"/>
      <c r="E46" s="33"/>
      <c r="F46" s="20">
        <f t="shared" si="0"/>
        <v>0.50506795299551888</v>
      </c>
    </row>
    <row r="47" spans="1:6" hidden="1" outlineLevel="1" x14ac:dyDescent="0.35">
      <c r="A47" s="12"/>
      <c r="B47">
        <v>15</v>
      </c>
      <c r="C47" s="33"/>
      <c r="D47" s="33"/>
      <c r="E47" s="33"/>
      <c r="F47" s="20">
        <f t="shared" si="0"/>
        <v>0.48101709809097021</v>
      </c>
    </row>
    <row r="48" spans="1:6" hidden="1" outlineLevel="1" x14ac:dyDescent="0.35">
      <c r="A48" s="12"/>
      <c r="B48">
        <v>16</v>
      </c>
      <c r="C48" s="33"/>
      <c r="D48" s="33"/>
      <c r="E48" s="33"/>
      <c r="F48" s="20">
        <f t="shared" si="0"/>
        <v>0.45811152199140021</v>
      </c>
    </row>
    <row r="49" spans="1:6" hidden="1" outlineLevel="1" x14ac:dyDescent="0.35">
      <c r="A49" s="12"/>
      <c r="B49">
        <v>17</v>
      </c>
      <c r="C49" s="33"/>
      <c r="D49" s="33"/>
      <c r="E49" s="33"/>
      <c r="F49" s="20">
        <f t="shared" si="0"/>
        <v>0.43629668761085727</v>
      </c>
    </row>
    <row r="50" spans="1:6" hidden="1" outlineLevel="1" x14ac:dyDescent="0.35">
      <c r="A50" s="12"/>
      <c r="B50">
        <v>18</v>
      </c>
      <c r="C50" s="33"/>
      <c r="D50" s="33"/>
      <c r="E50" s="33"/>
      <c r="F50" s="20">
        <f>(1+$C$6)^-B50</f>
        <v>0.41552065486748313</v>
      </c>
    </row>
    <row r="51" spans="1:6" hidden="1" outlineLevel="1" x14ac:dyDescent="0.35">
      <c r="A51" s="12"/>
      <c r="B51">
        <v>19</v>
      </c>
      <c r="C51" s="33"/>
      <c r="D51" s="33"/>
      <c r="E51" s="33"/>
      <c r="F51" s="20">
        <f t="shared" si="0"/>
        <v>0.39573395701665059</v>
      </c>
    </row>
    <row r="52" spans="1:6" hidden="1" outlineLevel="1" x14ac:dyDescent="0.35">
      <c r="A52" s="12"/>
      <c r="B52">
        <v>20</v>
      </c>
      <c r="C52" s="33"/>
      <c r="D52" s="33"/>
      <c r="E52" s="33"/>
      <c r="F52" s="20">
        <f t="shared" si="0"/>
        <v>0.37688948287300061</v>
      </c>
    </row>
    <row r="53" spans="1:6" hidden="1" outlineLevel="1" x14ac:dyDescent="0.35">
      <c r="A53" s="12"/>
      <c r="B53">
        <v>21</v>
      </c>
      <c r="C53" s="33"/>
      <c r="D53" s="33"/>
      <c r="E53" s="33"/>
      <c r="F53" s="20">
        <f t="shared" si="0"/>
        <v>0.35894236464095297</v>
      </c>
    </row>
    <row r="54" spans="1:6" hidden="1" outlineLevel="1" x14ac:dyDescent="0.35">
      <c r="A54" s="12"/>
      <c r="B54">
        <v>22</v>
      </c>
      <c r="C54" s="33"/>
      <c r="D54" s="33"/>
      <c r="E54" s="33"/>
      <c r="F54" s="20">
        <f t="shared" si="0"/>
        <v>0.3418498710866219</v>
      </c>
    </row>
    <row r="55" spans="1:6" hidden="1" outlineLevel="1" x14ac:dyDescent="0.35">
      <c r="A55" s="12"/>
      <c r="B55">
        <v>23</v>
      </c>
      <c r="C55" s="33"/>
      <c r="D55" s="33"/>
      <c r="E55" s="33"/>
      <c r="F55" s="20">
        <f t="shared" si="0"/>
        <v>0.32557130579678267</v>
      </c>
    </row>
    <row r="56" spans="1:6" hidden="1" outlineLevel="1" x14ac:dyDescent="0.35">
      <c r="A56" s="12"/>
      <c r="B56">
        <v>24</v>
      </c>
      <c r="C56" s="33"/>
      <c r="D56" s="33"/>
      <c r="E56" s="33"/>
      <c r="F56" s="20">
        <f t="shared" si="0"/>
        <v>0.31006791028265024</v>
      </c>
    </row>
    <row r="57" spans="1:6" hidden="1" outlineLevel="1" x14ac:dyDescent="0.35">
      <c r="A57" s="12"/>
      <c r="B57">
        <v>25</v>
      </c>
      <c r="C57" s="33"/>
      <c r="D57" s="33"/>
      <c r="E57" s="33"/>
      <c r="F57" s="20">
        <f t="shared" si="0"/>
        <v>0.29530277169776209</v>
      </c>
    </row>
    <row r="58" spans="1:6" hidden="1" outlineLevel="1" x14ac:dyDescent="0.35">
      <c r="A58" s="12"/>
      <c r="B58">
        <v>26</v>
      </c>
      <c r="C58" s="33"/>
      <c r="D58" s="33"/>
      <c r="E58" s="33"/>
      <c r="F58" s="20">
        <f t="shared" si="0"/>
        <v>0.28124073495024959</v>
      </c>
    </row>
    <row r="59" spans="1:6" hidden="1" outlineLevel="1" x14ac:dyDescent="0.35">
      <c r="A59" s="12"/>
      <c r="B59">
        <v>27</v>
      </c>
      <c r="C59" s="33"/>
      <c r="D59" s="33"/>
      <c r="E59" s="33"/>
      <c r="F59" s="20">
        <f t="shared" si="0"/>
        <v>0.2678483190002377</v>
      </c>
    </row>
    <row r="60" spans="1:6" hidden="1" outlineLevel="1" x14ac:dyDescent="0.35">
      <c r="A60" s="12"/>
      <c r="B60">
        <v>28</v>
      </c>
      <c r="C60" s="33"/>
      <c r="D60" s="33"/>
      <c r="E60" s="33"/>
      <c r="F60" s="20">
        <f t="shared" si="0"/>
        <v>0.25509363714308358</v>
      </c>
    </row>
    <row r="61" spans="1:6" hidden="1" outlineLevel="1" x14ac:dyDescent="0.35">
      <c r="A61" s="12"/>
      <c r="B61">
        <v>29</v>
      </c>
      <c r="C61" s="33"/>
      <c r="D61" s="33"/>
      <c r="E61" s="33"/>
      <c r="F61" s="20">
        <f t="shared" si="0"/>
        <v>0.24294632108865097</v>
      </c>
    </row>
    <row r="62" spans="1:6" hidden="1" outlineLevel="1" x14ac:dyDescent="0.35">
      <c r="A62" s="12"/>
      <c r="B62">
        <v>30</v>
      </c>
      <c r="C62" s="33"/>
      <c r="D62" s="33"/>
      <c r="E62" s="33"/>
      <c r="F62" s="20">
        <f t="shared" si="0"/>
        <v>0.23137744865585813</v>
      </c>
    </row>
    <row r="63" spans="1:6" ht="44.25" customHeight="1" collapsed="1" x14ac:dyDescent="0.35">
      <c r="A63" s="12" t="s">
        <v>23</v>
      </c>
      <c r="C63" s="4"/>
      <c r="D63" s="4"/>
      <c r="E63" s="4"/>
    </row>
    <row r="64" spans="1:6" x14ac:dyDescent="0.35">
      <c r="A64" s="12"/>
      <c r="B64" t="s">
        <v>9</v>
      </c>
      <c r="C64" s="5"/>
      <c r="D64" s="5"/>
      <c r="E64" s="5"/>
      <c r="F64" s="15"/>
    </row>
    <row r="65" spans="1:6" hidden="1" outlineLevel="1" x14ac:dyDescent="0.35">
      <c r="A65" s="12"/>
      <c r="B65" s="6" t="s">
        <v>22</v>
      </c>
      <c r="C65" s="1"/>
      <c r="D65" s="1"/>
      <c r="E65" s="1"/>
      <c r="F65" s="20">
        <f>(1+$C$6)^-1</f>
        <v>0.95238095238095233</v>
      </c>
    </row>
    <row r="66" spans="1:6" hidden="1" outlineLevel="1" x14ac:dyDescent="0.35">
      <c r="A66" s="12"/>
      <c r="B66" s="6" t="s">
        <v>21</v>
      </c>
      <c r="C66" s="1"/>
      <c r="D66" s="1"/>
      <c r="E66" s="1"/>
      <c r="F66" s="20">
        <f>(1+$C$6)^-2</f>
        <v>0.90702947845804982</v>
      </c>
    </row>
    <row r="67" spans="1:6" hidden="1" outlineLevel="1" x14ac:dyDescent="0.35">
      <c r="A67" s="12"/>
      <c r="B67">
        <v>3</v>
      </c>
      <c r="C67" s="1"/>
      <c r="D67" s="1"/>
      <c r="E67" s="1"/>
      <c r="F67" s="20">
        <f>(1+$C$6)^-B67</f>
        <v>0.86383759853147601</v>
      </c>
    </row>
    <row r="68" spans="1:6" hidden="1" outlineLevel="1" x14ac:dyDescent="0.35">
      <c r="A68" s="12"/>
      <c r="B68">
        <v>4</v>
      </c>
      <c r="C68" s="1"/>
      <c r="D68" s="1"/>
      <c r="E68" s="1"/>
      <c r="F68" s="20">
        <f t="shared" ref="F68:F94" si="1">(1+$C$6)^-B68</f>
        <v>0.82270247479188197</v>
      </c>
    </row>
    <row r="69" spans="1:6" hidden="1" outlineLevel="1" x14ac:dyDescent="0.35">
      <c r="A69" s="12"/>
      <c r="B69">
        <v>5</v>
      </c>
      <c r="C69" s="1"/>
      <c r="D69" s="1"/>
      <c r="E69" s="1"/>
      <c r="F69" s="20">
        <f t="shared" si="1"/>
        <v>0.78352616646845896</v>
      </c>
    </row>
    <row r="70" spans="1:6" hidden="1" outlineLevel="1" x14ac:dyDescent="0.35">
      <c r="A70" s="12"/>
      <c r="B70">
        <v>6</v>
      </c>
      <c r="C70" s="1"/>
      <c r="D70" s="1"/>
      <c r="E70" s="1"/>
      <c r="F70" s="20">
        <f t="shared" si="1"/>
        <v>0.74621539663662761</v>
      </c>
    </row>
    <row r="71" spans="1:6" hidden="1" outlineLevel="1" x14ac:dyDescent="0.35">
      <c r="A71" s="12"/>
      <c r="B71">
        <v>7</v>
      </c>
      <c r="C71" s="1"/>
      <c r="D71" s="1"/>
      <c r="E71" s="1"/>
      <c r="F71" s="20">
        <f t="shared" si="1"/>
        <v>0.71068133013012147</v>
      </c>
    </row>
    <row r="72" spans="1:6" hidden="1" outlineLevel="1" x14ac:dyDescent="0.35">
      <c r="A72" s="12"/>
      <c r="B72">
        <v>8</v>
      </c>
      <c r="C72" s="1"/>
      <c r="D72" s="1"/>
      <c r="E72" s="1"/>
      <c r="F72" s="20">
        <f t="shared" si="1"/>
        <v>0.67683936202868722</v>
      </c>
    </row>
    <row r="73" spans="1:6" hidden="1" outlineLevel="1" x14ac:dyDescent="0.35">
      <c r="A73" s="12"/>
      <c r="B73">
        <v>9</v>
      </c>
      <c r="C73" s="1"/>
      <c r="D73" s="1"/>
      <c r="E73" s="1"/>
      <c r="F73" s="20">
        <f t="shared" si="1"/>
        <v>0.64460891621779726</v>
      </c>
    </row>
    <row r="74" spans="1:6" hidden="1" outlineLevel="1" x14ac:dyDescent="0.35">
      <c r="A74" s="12"/>
      <c r="B74">
        <v>10</v>
      </c>
      <c r="C74" s="1"/>
      <c r="D74" s="1"/>
      <c r="E74" s="1"/>
      <c r="F74" s="20">
        <f t="shared" si="1"/>
        <v>0.61391325354075932</v>
      </c>
    </row>
    <row r="75" spans="1:6" hidden="1" outlineLevel="1" x14ac:dyDescent="0.35">
      <c r="A75" s="12"/>
      <c r="B75">
        <v>11</v>
      </c>
      <c r="C75" s="1"/>
      <c r="D75" s="1"/>
      <c r="E75" s="1"/>
      <c r="F75" s="20">
        <f t="shared" si="1"/>
        <v>0.5846792890864374</v>
      </c>
    </row>
    <row r="76" spans="1:6" hidden="1" outlineLevel="1" x14ac:dyDescent="0.35">
      <c r="A76" s="12"/>
      <c r="B76">
        <v>12</v>
      </c>
      <c r="C76" s="1"/>
      <c r="D76" s="1"/>
      <c r="E76" s="1"/>
      <c r="F76" s="20">
        <f t="shared" si="1"/>
        <v>0.5568374181775595</v>
      </c>
    </row>
    <row r="77" spans="1:6" hidden="1" outlineLevel="1" x14ac:dyDescent="0.35">
      <c r="A77" s="12"/>
      <c r="B77">
        <v>13</v>
      </c>
      <c r="C77" s="1"/>
      <c r="D77" s="1"/>
      <c r="E77" s="1"/>
      <c r="F77" s="20">
        <f t="shared" si="1"/>
        <v>0.53032135064529462</v>
      </c>
    </row>
    <row r="78" spans="1:6" hidden="1" outlineLevel="1" x14ac:dyDescent="0.35">
      <c r="A78" s="12"/>
      <c r="B78">
        <v>14</v>
      </c>
      <c r="C78" s="1"/>
      <c r="D78" s="1"/>
      <c r="E78" s="1"/>
      <c r="F78" s="20">
        <f t="shared" si="1"/>
        <v>0.50506795299551888</v>
      </c>
    </row>
    <row r="79" spans="1:6" hidden="1" outlineLevel="1" x14ac:dyDescent="0.35">
      <c r="A79" s="12"/>
      <c r="B79">
        <v>15</v>
      </c>
      <c r="C79" s="1"/>
      <c r="D79" s="1"/>
      <c r="E79" s="1"/>
      <c r="F79" s="20">
        <f t="shared" si="1"/>
        <v>0.48101709809097021</v>
      </c>
    </row>
    <row r="80" spans="1:6" hidden="1" outlineLevel="1" x14ac:dyDescent="0.35">
      <c r="A80" s="12"/>
      <c r="B80">
        <v>16</v>
      </c>
      <c r="C80" s="1"/>
      <c r="D80" s="1"/>
      <c r="E80" s="1"/>
      <c r="F80" s="20">
        <f t="shared" si="1"/>
        <v>0.45811152199140021</v>
      </c>
    </row>
    <row r="81" spans="1:6" hidden="1" outlineLevel="1" x14ac:dyDescent="0.35">
      <c r="A81" s="12"/>
      <c r="B81">
        <v>17</v>
      </c>
      <c r="C81" s="1"/>
      <c r="D81" s="1"/>
      <c r="E81" s="1"/>
      <c r="F81" s="20">
        <f t="shared" si="1"/>
        <v>0.43629668761085727</v>
      </c>
    </row>
    <row r="82" spans="1:6" hidden="1" outlineLevel="1" x14ac:dyDescent="0.35">
      <c r="A82" s="12"/>
      <c r="B82">
        <v>18</v>
      </c>
      <c r="C82" s="1"/>
      <c r="D82" s="1"/>
      <c r="E82" s="1"/>
      <c r="F82" s="20">
        <f t="shared" si="1"/>
        <v>0.41552065486748313</v>
      </c>
    </row>
    <row r="83" spans="1:6" hidden="1" outlineLevel="1" x14ac:dyDescent="0.35">
      <c r="A83" s="12"/>
      <c r="B83">
        <v>19</v>
      </c>
      <c r="C83" s="1"/>
      <c r="D83" s="1"/>
      <c r="E83" s="1"/>
      <c r="F83" s="20">
        <f t="shared" si="1"/>
        <v>0.39573395701665059</v>
      </c>
    </row>
    <row r="84" spans="1:6" hidden="1" outlineLevel="1" x14ac:dyDescent="0.35">
      <c r="A84" s="12"/>
      <c r="B84">
        <v>20</v>
      </c>
      <c r="C84" s="1"/>
      <c r="D84" s="1"/>
      <c r="E84" s="1"/>
      <c r="F84" s="20">
        <f t="shared" si="1"/>
        <v>0.37688948287300061</v>
      </c>
    </row>
    <row r="85" spans="1:6" hidden="1" outlineLevel="1" x14ac:dyDescent="0.35">
      <c r="A85" s="12"/>
      <c r="B85">
        <v>21</v>
      </c>
      <c r="C85" s="1"/>
      <c r="D85" s="1"/>
      <c r="E85" s="1"/>
      <c r="F85" s="20">
        <f t="shared" si="1"/>
        <v>0.35894236464095297</v>
      </c>
    </row>
    <row r="86" spans="1:6" hidden="1" outlineLevel="1" x14ac:dyDescent="0.35">
      <c r="A86" s="12"/>
      <c r="B86">
        <v>22</v>
      </c>
      <c r="C86" s="1"/>
      <c r="D86" s="1"/>
      <c r="E86" s="1"/>
      <c r="F86" s="20">
        <f t="shared" si="1"/>
        <v>0.3418498710866219</v>
      </c>
    </row>
    <row r="87" spans="1:6" hidden="1" outlineLevel="1" x14ac:dyDescent="0.35">
      <c r="A87" s="12"/>
      <c r="B87">
        <v>23</v>
      </c>
      <c r="C87" s="1"/>
      <c r="D87" s="1"/>
      <c r="E87" s="1"/>
      <c r="F87" s="20">
        <f t="shared" si="1"/>
        <v>0.32557130579678267</v>
      </c>
    </row>
    <row r="88" spans="1:6" hidden="1" outlineLevel="1" x14ac:dyDescent="0.35">
      <c r="A88" s="12"/>
      <c r="B88">
        <v>24</v>
      </c>
      <c r="C88" s="1"/>
      <c r="D88" s="1"/>
      <c r="E88" s="1"/>
      <c r="F88" s="20">
        <f t="shared" si="1"/>
        <v>0.31006791028265024</v>
      </c>
    </row>
    <row r="89" spans="1:6" hidden="1" outlineLevel="1" x14ac:dyDescent="0.35">
      <c r="A89" s="12"/>
      <c r="B89">
        <v>25</v>
      </c>
      <c r="C89" s="1"/>
      <c r="D89" s="1"/>
      <c r="E89" s="1"/>
      <c r="F89" s="20">
        <f t="shared" si="1"/>
        <v>0.29530277169776209</v>
      </c>
    </row>
    <row r="90" spans="1:6" hidden="1" outlineLevel="1" x14ac:dyDescent="0.35">
      <c r="A90" s="12"/>
      <c r="B90">
        <v>26</v>
      </c>
      <c r="C90" s="1"/>
      <c r="D90" s="1"/>
      <c r="E90" s="1"/>
      <c r="F90" s="20">
        <f t="shared" si="1"/>
        <v>0.28124073495024959</v>
      </c>
    </row>
    <row r="91" spans="1:6" hidden="1" outlineLevel="1" x14ac:dyDescent="0.35">
      <c r="A91" s="12"/>
      <c r="B91">
        <v>27</v>
      </c>
      <c r="C91" s="1"/>
      <c r="D91" s="1"/>
      <c r="E91" s="1"/>
      <c r="F91" s="20">
        <f t="shared" si="1"/>
        <v>0.2678483190002377</v>
      </c>
    </row>
    <row r="92" spans="1:6" hidden="1" outlineLevel="1" x14ac:dyDescent="0.35">
      <c r="A92" s="12"/>
      <c r="B92">
        <v>28</v>
      </c>
      <c r="C92" s="1"/>
      <c r="D92" s="1"/>
      <c r="E92" s="1"/>
      <c r="F92" s="20">
        <f t="shared" si="1"/>
        <v>0.25509363714308358</v>
      </c>
    </row>
    <row r="93" spans="1:6" hidden="1" outlineLevel="1" x14ac:dyDescent="0.35">
      <c r="A93" s="12"/>
      <c r="B93">
        <v>29</v>
      </c>
      <c r="C93" s="1"/>
      <c r="D93" s="1"/>
      <c r="E93" s="1"/>
      <c r="F93" s="20">
        <f t="shared" si="1"/>
        <v>0.24294632108865097</v>
      </c>
    </row>
    <row r="94" spans="1:6" hidden="1" outlineLevel="1" x14ac:dyDescent="0.35">
      <c r="A94" s="12"/>
      <c r="B94">
        <v>30</v>
      </c>
      <c r="C94" s="1"/>
      <c r="D94" s="1"/>
      <c r="E94" s="1"/>
      <c r="F94" s="20">
        <f t="shared" si="1"/>
        <v>0.23137744865585813</v>
      </c>
    </row>
    <row r="95" spans="1:6" ht="43.5" collapsed="1" x14ac:dyDescent="0.35">
      <c r="A95" s="12" t="s">
        <v>23</v>
      </c>
    </row>
    <row r="96" spans="1:6" x14ac:dyDescent="0.35">
      <c r="A96" s="12"/>
      <c r="B96" t="s">
        <v>2</v>
      </c>
      <c r="C96" s="5"/>
      <c r="D96" s="5"/>
      <c r="E96" s="5"/>
    </row>
    <row r="97" spans="1:6" x14ac:dyDescent="0.35">
      <c r="A97" s="12"/>
    </row>
    <row r="98" spans="1:6" ht="17.5" thickBot="1" x14ac:dyDescent="0.45">
      <c r="A98" s="12"/>
      <c r="B98" s="9" t="s">
        <v>31</v>
      </c>
      <c r="C98" s="9"/>
      <c r="D98" s="9"/>
      <c r="E98" s="9"/>
    </row>
    <row r="99" spans="1:6" ht="15" thickTop="1" x14ac:dyDescent="0.35">
      <c r="A99" s="12"/>
      <c r="C99" s="4" t="s">
        <v>13</v>
      </c>
      <c r="D99" s="4" t="s">
        <v>14</v>
      </c>
      <c r="E99" s="4" t="s">
        <v>15</v>
      </c>
    </row>
    <row r="100" spans="1:6" x14ac:dyDescent="0.35">
      <c r="A100" s="12"/>
      <c r="B100" t="s">
        <v>53</v>
      </c>
      <c r="C100" s="35">
        <f>C26-C96*(1+$C$6)^-$C$5</f>
        <v>0</v>
      </c>
      <c r="D100" s="35">
        <f>D26-D96*(1+$C$6)^-$C$5</f>
        <v>0</v>
      </c>
      <c r="E100" s="35">
        <f>E26-E96*(1+$C$6)^-$C$5</f>
        <v>0</v>
      </c>
      <c r="F100" s="20" t="s">
        <v>42</v>
      </c>
    </row>
    <row r="101" spans="1:6" x14ac:dyDescent="0.35">
      <c r="A101" s="11"/>
      <c r="B101" t="s">
        <v>28</v>
      </c>
      <c r="C101" s="35">
        <f>C32*$C$18+SUMPRODUCT(C33:C62,$F$33:$F$62)</f>
        <v>0</v>
      </c>
      <c r="D101" s="35">
        <f>D32*$C$18+SUMPRODUCT(D33:D62,$F$33:$F$62)</f>
        <v>0</v>
      </c>
      <c r="E101" s="35">
        <f>E32*$C$18+SUMPRODUCT(E33:E62,$F$33:$F$62)</f>
        <v>0</v>
      </c>
      <c r="F101" s="20" t="s">
        <v>38</v>
      </c>
    </row>
    <row r="102" spans="1:6" x14ac:dyDescent="0.35">
      <c r="A102" s="11"/>
      <c r="B102" t="s">
        <v>29</v>
      </c>
      <c r="C102" s="35">
        <f>C64*$C$18+SUMPRODUCT(C65:C94,$F$65:$F$94)</f>
        <v>0</v>
      </c>
      <c r="D102" s="35">
        <f>D64*$C$18+SUMPRODUCT(D65:D94,$F$65:$F$94)</f>
        <v>0</v>
      </c>
      <c r="E102" s="35">
        <f>E64*$C$18+SUMPRODUCT(E65:E94,$F$65:$F$94)</f>
        <v>0</v>
      </c>
      <c r="F102" s="20" t="s">
        <v>43</v>
      </c>
    </row>
    <row r="103" spans="1:6" x14ac:dyDescent="0.35">
      <c r="A103" s="11"/>
      <c r="B103" t="s">
        <v>30</v>
      </c>
      <c r="C103" s="35">
        <f>C28*$C$9*$C$19+C29*$C$12*$C$20+C30*$C$15*$C$21</f>
        <v>0</v>
      </c>
      <c r="D103" s="35">
        <f>D28*$C$9*$C$19+D29*$C$12*$C$20+D30*$C$15*$C$21</f>
        <v>0</v>
      </c>
      <c r="E103" s="35">
        <f>E28*$C$9*$C$19+E29*$C$12*$C$20+E30*$C$15*$C$21</f>
        <v>0</v>
      </c>
      <c r="F103" s="20" t="s">
        <v>44</v>
      </c>
    </row>
    <row r="104" spans="1:6" x14ac:dyDescent="0.35">
      <c r="A104" s="11"/>
      <c r="B104" s="22" t="s">
        <v>27</v>
      </c>
      <c r="C104" s="36">
        <f>SUM(C100:C103)</f>
        <v>0</v>
      </c>
      <c r="D104" s="36" t="str">
        <f>IF(SUM(D100:D103)=0,"-",SUM(D100:D103))</f>
        <v>-</v>
      </c>
      <c r="E104" s="36" t="str">
        <f>IF(SUM(E100:E103)=0,"-",SUM(E100:E103))</f>
        <v>-</v>
      </c>
    </row>
    <row r="105" spans="1:6" x14ac:dyDescent="0.35">
      <c r="A105" s="11"/>
      <c r="C105" s="14"/>
      <c r="D105" s="14"/>
      <c r="E105" s="14"/>
    </row>
    <row r="106" spans="1:6" x14ac:dyDescent="0.35">
      <c r="A106" s="11"/>
      <c r="C106" s="14"/>
      <c r="D106" s="14"/>
      <c r="E106" s="14"/>
    </row>
    <row r="107" spans="1:6" ht="17.5" thickBot="1" x14ac:dyDescent="0.45">
      <c r="A107" s="11"/>
      <c r="B107" s="9" t="s">
        <v>58</v>
      </c>
      <c r="C107" s="9"/>
      <c r="D107" s="37"/>
      <c r="E107" s="37"/>
    </row>
    <row r="108" spans="1:6" ht="15" thickTop="1" x14ac:dyDescent="0.35">
      <c r="A108" s="11"/>
      <c r="B108" t="s">
        <v>33</v>
      </c>
      <c r="D108" s="38" t="str">
        <f>IF(AND(D26&gt;$C$26,(D28-$C$28)*$C$9+(D29-$C$29)*$C$12+(D30-$C$30)*$C$15+(D32-$C$32)+(D64-$C$64)&gt;0),"återbetalas ej",IF(OR(D104="-",D26&lt;$C$26),"-",(D26-$C$26)/(($C$28-D28)*$C$9+($C$29-D29)*$C$12+($C$30-D30)*$C$15+($C$32-D32)+($C$64-D64))))</f>
        <v>-</v>
      </c>
      <c r="E108" s="38" t="str">
        <f>IF(AND(E26&gt;$C$26,(E28-$C$28)*$C$9+(E29-$C$29)*$C$12+(E30-$C$30)*$C$15+(E32-$C$32)+(E64-$C$64)&gt;0),"återbetalas ej",IF(OR(E104="-",E26&lt;$C$26),"-",(E26-$C$26)/(($C$28-E28)*$C$9+($C$29-E29)*$C$12+($C$30-E30)*$C$15+($C$32-E32)+($C$64-E64))))</f>
        <v>-</v>
      </c>
    </row>
    <row r="109" spans="1:6" x14ac:dyDescent="0.35">
      <c r="A109" s="11"/>
      <c r="B109" t="s">
        <v>73</v>
      </c>
      <c r="D109" s="39" t="str">
        <f>IF(D104="-","-",C104-D104)</f>
        <v>-</v>
      </c>
      <c r="E109" s="39" t="str">
        <f>IF(E104="-","-",C104-E104)</f>
        <v>-</v>
      </c>
    </row>
    <row r="110" spans="1:6" ht="27" customHeight="1" x14ac:dyDescent="0.35">
      <c r="A110" s="11"/>
      <c r="B110" s="47" t="str">
        <f>IF(OR(AND(ISNUMBER(D104),D26&lt;C26),AND(ISNUMBER(E104),E26&lt;C26)),"!!! För att uträkningen av återbetalningstid ska ge ett meningsfullt resultat behöver Alt A vara det alternativ som har lägst investeringskostnad !!!","")</f>
        <v/>
      </c>
      <c r="C110" s="47"/>
      <c r="D110" s="47"/>
      <c r="E110" s="47"/>
    </row>
    <row r="111" spans="1:6" x14ac:dyDescent="0.35">
      <c r="A111" s="11"/>
    </row>
    <row r="112" spans="1:6" ht="20" thickBot="1" x14ac:dyDescent="0.5">
      <c r="B112" s="10" t="s">
        <v>32</v>
      </c>
      <c r="C112" s="10"/>
      <c r="D112" s="10"/>
      <c r="E112" s="10"/>
    </row>
    <row r="113" spans="2:7" ht="15" thickTop="1" x14ac:dyDescent="0.35">
      <c r="B113" s="6" t="s">
        <v>59</v>
      </c>
      <c r="C113" s="16" t="str">
        <f>IF(SMALL(C104:E104,1)=C104,C24,IF(D104&lt;E104,D24,E24))</f>
        <v>Alt A</v>
      </c>
      <c r="D113" t="s">
        <v>60</v>
      </c>
    </row>
    <row r="114" spans="2:7" x14ac:dyDescent="0.35">
      <c r="B114" s="6"/>
    </row>
    <row r="116" spans="2:7" ht="17.5" thickBot="1" x14ac:dyDescent="0.45">
      <c r="B116" s="9" t="s">
        <v>45</v>
      </c>
      <c r="C116" s="9"/>
      <c r="D116" s="9"/>
      <c r="E116" s="9"/>
      <c r="F116" s="9"/>
      <c r="G116" s="9"/>
    </row>
    <row r="117" spans="2:7" ht="15" thickTop="1" x14ac:dyDescent="0.35"/>
    <row r="132" spans="2:7" ht="17.5" thickBot="1" x14ac:dyDescent="0.45">
      <c r="B132" s="9" t="s">
        <v>46</v>
      </c>
      <c r="C132" s="9"/>
      <c r="D132" s="9"/>
      <c r="E132" s="9"/>
      <c r="F132" s="9"/>
      <c r="G132" s="9"/>
    </row>
    <row r="133" spans="2:7" ht="15" thickTop="1" x14ac:dyDescent="0.35"/>
    <row r="147" spans="2:7" ht="17.5" thickBot="1" x14ac:dyDescent="0.45">
      <c r="B147" s="9" t="s">
        <v>51</v>
      </c>
      <c r="C147" s="9"/>
      <c r="D147" s="9"/>
      <c r="E147" s="9"/>
      <c r="F147" s="9"/>
      <c r="G147" s="9"/>
    </row>
    <row r="148" spans="2:7" ht="15" thickTop="1" x14ac:dyDescent="0.35">
      <c r="E148" s="24"/>
      <c r="F148" s="24"/>
      <c r="G148" s="24"/>
    </row>
    <row r="149" spans="2:7" x14ac:dyDescent="0.35">
      <c r="E149" s="20"/>
      <c r="F149" s="20" t="s">
        <v>13</v>
      </c>
      <c r="G149" s="20" t="s">
        <v>14</v>
      </c>
    </row>
    <row r="150" spans="2:7" x14ac:dyDescent="0.35">
      <c r="E150" s="20">
        <v>1E-3</v>
      </c>
      <c r="F150" s="23">
        <f>C$26-C$96*(1+$E150)^-$C$5+C$32*$J174+SUMPRODUCT(C$33:C$62,$O$174:$O$203)+C$64*$J174+SUMPRODUCT(C$65:C$94,$O$174:$O$203)+C$28*$C$9*$K174+C$29*$C$12*$L174+C$30*$C$15*$M174</f>
        <v>0</v>
      </c>
      <c r="G150" s="23">
        <f>D$26-D$96*(1+$E150)^-$C$5+D$32*$J174+SUMPRODUCT(D$33:D$62,$O$174:$O$203)+D$64*$J174+SUMPRODUCT(D$65:D$94,$O$174:$O$203)+D$28*$C$9*$K174+D$29*$C$12*$L174+D$30*$C$15*$M174</f>
        <v>0</v>
      </c>
    </row>
    <row r="151" spans="2:7" x14ac:dyDescent="0.35">
      <c r="E151" s="20">
        <v>0.02</v>
      </c>
      <c r="F151" s="23">
        <f>C$26-C$96*(1+$E151)^-$C$5+C$32*$J175+SUMPRODUCT(C$33:C$62,$P$174:$P$203)+C$64*$J175+SUMPRODUCT(C$65:C$94,$P$174:$P$203)+C$28*$C$9*$K175+C$29*$C$12*$L175+C$30*$C$15*$M175</f>
        <v>0</v>
      </c>
      <c r="G151" s="23">
        <f>D$26-D$96*(1+$E151)^-$C$5+D$32*$J175+SUMPRODUCT(D$33:D$62,$P$174:$P$203)+D$64*$J175+SUMPRODUCT(D$65:D$94,$P$174:$P$203)+D$28*$C$9*$K175+D$29*$C$12*$L175+D$30*$C$15*$M175</f>
        <v>0</v>
      </c>
    </row>
    <row r="152" spans="2:7" x14ac:dyDescent="0.35">
      <c r="E152" s="20">
        <v>0.04</v>
      </c>
      <c r="F152" s="23">
        <f>C$26-C$96*(1+$E152)^-$C$5+C$32*$J176+SUMPRODUCT(C$33:C$62,$Q$174:$Q$203)+C$64*$J176+SUMPRODUCT(C$65:C$94,$Q$174:$Q$203)+C$28*$C$9*$K176+C$29*$C$12*$L176+C$30*$C$15*$M176</f>
        <v>0</v>
      </c>
      <c r="G152" s="23">
        <f>D$26-D$96*(1+$E152)^-$C$5+D$32*$J176+SUMPRODUCT(D$33:D$62,$Q$174:$Q$203)+D$64*$J176+SUMPRODUCT(D$65:D$94,$Q$174:$Q$203)+D$28*$C$9*$K176+D$29*$C$12*$L176+D$30*$C$15*$M176</f>
        <v>0</v>
      </c>
    </row>
    <row r="153" spans="2:7" x14ac:dyDescent="0.35">
      <c r="E153" s="20">
        <v>0.06</v>
      </c>
      <c r="F153" s="23">
        <f>C$26-C$96*(1+$E153)^-$C$5+C$32*$J177+SUMPRODUCT(C$33:C$62,$R$174:$R$203)+C$64*$J177+SUMPRODUCT(C$65:C$94,$R$174:$R$203)+C$28*$C$9*$K177+C$29*$C$12*$L177+C$30*$C$15*$M177</f>
        <v>0</v>
      </c>
      <c r="G153" s="23">
        <f>D$26-D$96*(1+$E153)^-$C$5+D$32*$J177+SUMPRODUCT(D$33:D$62,$R$174:$R$203)+D$64*$J177+SUMPRODUCT(D$65:D$94,$R$174:$R$203)+D$28*$C$9*$K177+D$29*$C$12*$L177+D$30*$C$15*$M177</f>
        <v>0</v>
      </c>
    </row>
    <row r="154" spans="2:7" x14ac:dyDescent="0.35">
      <c r="E154" s="20">
        <v>0.08</v>
      </c>
      <c r="F154" s="23">
        <f>C$26-C$96*(1+$E154)^-$C$5+C$32*$J178+SUMPRODUCT(C$33:C$62,$S$174:$S$203)+C$64*$J178+SUMPRODUCT(C$65:C$94,$S$174:$S$203)+C$28*$C$9*$K178+C$29*$C$12*$L178+C$30*$C$15*$M178</f>
        <v>0</v>
      </c>
      <c r="G154" s="23">
        <f>D$26-D$96*(1+$E154)^-$C$5+D$32*$J178+SUMPRODUCT(D$33:D$62,$S$174:$S$203)+D$64*$J178+SUMPRODUCT(D$65:D$94,$S$174:$S$203)+D$28*$C$9*$K178+D$29*$C$12*$L178+D$30*$C$15*$M178</f>
        <v>0</v>
      </c>
    </row>
    <row r="155" spans="2:7" x14ac:dyDescent="0.35">
      <c r="E155" s="20">
        <v>0.1</v>
      </c>
      <c r="F155" s="23">
        <f>C$26-C$96*(1+$E155)^-$C$5+C$32*$J179+SUMPRODUCT(C$33:C$62,$T$174:$T$203)+C$64*$J179+SUMPRODUCT(C$65:C$94,$T$174:$T$203)+C$28*$C$9*$K179+C$29*$C$12*$L179+C$30*$C$15*$M179</f>
        <v>0</v>
      </c>
      <c r="G155" s="23">
        <f>D$26-D$96*(1+$E155)^-$C$5+D$32*$J179+SUMPRODUCT(D$33:D$62,$T$174:$T$203)+D$64*$J179+SUMPRODUCT(D$65:D$94,$T$174:$T$203)+D$28*$C$9*$K179+D$29*$C$12*$L179+D$30*$C$15*$M179</f>
        <v>0</v>
      </c>
    </row>
    <row r="156" spans="2:7" x14ac:dyDescent="0.35">
      <c r="E156" s="20">
        <v>0.12</v>
      </c>
      <c r="F156" s="23">
        <f>C$26-C$96*(1+$E156)^-$C$5+C$32*$J180+SUMPRODUCT(C$33:C$62,$U$174:$U$203)+C$64*$J180+SUMPRODUCT(C$65:C$94,$U$174:$U$203)+C$28*$C$9*$K180+C$29*$C$12*$L180+C$30*$C$15*$M180</f>
        <v>0</v>
      </c>
      <c r="G156" s="23">
        <f>D$26-D$96*(1+$E156)^-$C$5+D$32*$J180+SUMPRODUCT(D$33:D$62,$U$174:$U$203)+D$64*$J180+SUMPRODUCT(D$65:D$94,$U$174:$U$203)+D$28*$C$9*$K180+D$29*$C$12*$L180+D$30*$C$15*$M180</f>
        <v>0</v>
      </c>
    </row>
    <row r="157" spans="2:7" x14ac:dyDescent="0.35">
      <c r="E157" s="20">
        <v>0.14000000000000001</v>
      </c>
      <c r="F157" s="23">
        <f>C$26-C$96*(1+$E157)^-$C$5+C$32*$J181+SUMPRODUCT(C$33:C$62,$V$174:$V$203)+C$64*$J181+SUMPRODUCT(C$65:C$94,$V$174:$V$203)+C$28*$C$9*$K181+C$29*$C$12*$L181+C$30*$C$15*$M181</f>
        <v>0</v>
      </c>
      <c r="G157" s="23">
        <f>D$26-D$96*(1+$E157)^-$C$5+D$32*$J181+SUMPRODUCT(D$33:D$62,$V$174:$V$203)+D$64*$J181+SUMPRODUCT(D$65:D$94,$V$174:$V$203)+D$28*$C$9*$K181+D$29*$C$12*$L181+D$30*$C$15*$M181</f>
        <v>0</v>
      </c>
    </row>
    <row r="158" spans="2:7" x14ac:dyDescent="0.35">
      <c r="E158" s="20"/>
      <c r="F158" s="20"/>
      <c r="G158" s="20"/>
    </row>
    <row r="159" spans="2:7" x14ac:dyDescent="0.35">
      <c r="E159" s="20"/>
      <c r="F159" s="20"/>
      <c r="G159" s="20"/>
    </row>
    <row r="160" spans="2:7" x14ac:dyDescent="0.35">
      <c r="E160" s="20"/>
      <c r="F160" s="20"/>
      <c r="G160" s="20"/>
    </row>
    <row r="161" spans="2:22" x14ac:dyDescent="0.35">
      <c r="E161" s="20"/>
      <c r="F161" s="20"/>
      <c r="G161" s="20"/>
    </row>
    <row r="162" spans="2:22" x14ac:dyDescent="0.35">
      <c r="E162" s="20"/>
      <c r="F162" s="20"/>
      <c r="G162" s="20"/>
    </row>
    <row r="163" spans="2:22" x14ac:dyDescent="0.35">
      <c r="E163" s="20"/>
      <c r="F163" s="20"/>
      <c r="G163" s="20"/>
    </row>
    <row r="164" spans="2:22" x14ac:dyDescent="0.35">
      <c r="B164" t="s">
        <v>52</v>
      </c>
      <c r="E164" s="20"/>
      <c r="F164" s="20"/>
      <c r="G164" s="20"/>
    </row>
    <row r="165" spans="2:22" x14ac:dyDescent="0.35">
      <c r="E165" s="20"/>
      <c r="F165" s="23"/>
      <c r="G165" s="23"/>
    </row>
    <row r="166" spans="2:22" x14ac:dyDescent="0.35">
      <c r="E166" s="20"/>
      <c r="F166" s="23"/>
      <c r="G166" s="23"/>
    </row>
    <row r="167" spans="2:22" x14ac:dyDescent="0.35">
      <c r="E167" s="20"/>
      <c r="F167" s="23"/>
      <c r="G167" s="23"/>
    </row>
    <row r="168" spans="2:22" x14ac:dyDescent="0.35">
      <c r="E168" s="20"/>
      <c r="F168" s="23"/>
      <c r="G168" s="23"/>
    </row>
    <row r="169" spans="2:22" x14ac:dyDescent="0.35">
      <c r="E169" s="20"/>
      <c r="F169" s="23"/>
      <c r="G169" s="23"/>
    </row>
    <row r="170" spans="2:22" x14ac:dyDescent="0.35">
      <c r="E170" s="20"/>
      <c r="F170" s="20"/>
      <c r="G170" s="20"/>
    </row>
    <row r="171" spans="2:22" x14ac:dyDescent="0.35">
      <c r="E171" s="20"/>
      <c r="F171" s="20"/>
      <c r="G171" s="20"/>
    </row>
    <row r="172" spans="2:22" x14ac:dyDescent="0.35">
      <c r="E172" s="20"/>
      <c r="F172" s="20"/>
      <c r="G172" s="20"/>
      <c r="H172" s="24"/>
      <c r="I172" s="24"/>
    </row>
    <row r="173" spans="2:22" x14ac:dyDescent="0.35">
      <c r="E173" s="20"/>
      <c r="F173" s="20"/>
      <c r="G173" s="20"/>
      <c r="H173" s="20" t="s">
        <v>15</v>
      </c>
      <c r="I173" s="20"/>
      <c r="J173" s="20"/>
      <c r="K173" s="20"/>
      <c r="L173" s="20"/>
      <c r="M173" s="20"/>
      <c r="N173" s="20"/>
      <c r="O173" s="20"/>
      <c r="P173" s="20"/>
      <c r="Q173" s="20"/>
      <c r="R173" s="20"/>
      <c r="S173" s="20"/>
      <c r="T173" s="20"/>
      <c r="U173" s="20"/>
      <c r="V173" s="20"/>
    </row>
    <row r="174" spans="2:22" x14ac:dyDescent="0.35">
      <c r="E174" s="20"/>
      <c r="F174" s="20"/>
      <c r="G174" s="20"/>
      <c r="H174" s="23">
        <f>E$26-E$96*(1+$E150)^-$C$5+E$32*$J174+SUMPRODUCT(E$33:E$62,$O$174:$O$203)+E$64*$J174+SUMPRODUCT(E$65:E$94,$O$174:$O$203)+E$28*$C$9*$K174+E$29*$C$12*$L174+E$30*$C$15*$M174</f>
        <v>0</v>
      </c>
      <c r="I174" s="20"/>
      <c r="J174" s="20">
        <f t="shared" ref="J174:J181" si="2">(1-(1+$E150)^-$C$5)/$E150</f>
        <v>19.791531187324907</v>
      </c>
      <c r="K174" s="20">
        <f t="shared" ref="K174:K181" si="3">IF($E150=$C$10,$C$5,((1-((1+$C$10)/(1+$E150))^$C$5)/((1+$E150)/(1+$C$10)-1)))</f>
        <v>19.791531187326864</v>
      </c>
      <c r="L174" s="20">
        <f t="shared" ref="L174:L181" si="4">IF($E150=$C$13,$C$5,((1-((1+$C$13)/(1+$E150))^$C$5)/((1+$E150)/(1+$C$13)-1)))</f>
        <v>19.791531187326864</v>
      </c>
      <c r="M174" s="20">
        <f t="shared" ref="M174:M181" si="5">IF($E150=$C$16,$C$5,((1-((1+$C$16)/(1+$E150))^$C$5)/((1+$E150)/(1+$C$16)-1)))</f>
        <v>19.791531187326864</v>
      </c>
      <c r="N174" s="20"/>
      <c r="O174" s="20">
        <f>(1+$E$150)^-1</f>
        <v>0.99900099900099915</v>
      </c>
      <c r="P174" s="20">
        <f>(1+$E$151)^-1</f>
        <v>0.98039215686274506</v>
      </c>
      <c r="Q174" s="20">
        <f>(1+$E$152)^-1</f>
        <v>0.96153846153846145</v>
      </c>
      <c r="R174" s="20">
        <f>(1+$E$153)^-1</f>
        <v>0.94339622641509424</v>
      </c>
      <c r="S174" s="20">
        <f>(1+$E$154)^-1</f>
        <v>0.92592592592592582</v>
      </c>
      <c r="T174" s="20">
        <f>(1+$E$155)^-1</f>
        <v>0.90909090909090906</v>
      </c>
      <c r="U174" s="20">
        <f>(1+$E$156)^-1</f>
        <v>0.89285714285714279</v>
      </c>
      <c r="V174" s="20">
        <f>(1+$E$157)^-1</f>
        <v>0.8771929824561403</v>
      </c>
    </row>
    <row r="175" spans="2:22" x14ac:dyDescent="0.35">
      <c r="E175" s="20"/>
      <c r="F175" s="20"/>
      <c r="G175" s="20"/>
      <c r="H175" s="23">
        <f>E$26-E$96*(1+$E151)^-$C$5+E$32*$J175+SUMPRODUCT(E$33:E$62,$P$174:$P$203)+E$64*$J175+SUMPRODUCT(E$65:E$94,$P$174:$P$203)+E$28*$C$9*$K175+E$29*$C$12*$L175+E$30*$C$15*$M175</f>
        <v>0</v>
      </c>
      <c r="I175" s="20"/>
      <c r="J175" s="20">
        <f t="shared" si="2"/>
        <v>16.351433344597112</v>
      </c>
      <c r="K175" s="20">
        <f t="shared" si="3"/>
        <v>16.35143334459713</v>
      </c>
      <c r="L175" s="20">
        <f t="shared" si="4"/>
        <v>16.35143334459713</v>
      </c>
      <c r="M175" s="20">
        <f t="shared" si="5"/>
        <v>16.35143334459713</v>
      </c>
      <c r="N175" s="20"/>
      <c r="O175" s="20">
        <f>(1+$E$150)^-2</f>
        <v>0.99800299600499431</v>
      </c>
      <c r="P175" s="20">
        <f>(1+$E$151)^-2</f>
        <v>0.96116878123798544</v>
      </c>
      <c r="Q175" s="20">
        <f>(1+$E$152)^-2</f>
        <v>0.92455621301775137</v>
      </c>
      <c r="R175" s="20">
        <f>(1+$E$153)^-2</f>
        <v>0.88999644001423983</v>
      </c>
      <c r="S175" s="20">
        <f>(1+$E$154)^-2</f>
        <v>0.85733882030178321</v>
      </c>
      <c r="T175" s="20">
        <f>(1+$E$155)^-2</f>
        <v>0.82644628099173545</v>
      </c>
      <c r="U175" s="20">
        <f>(1+$E$156)^-2</f>
        <v>0.79719387755102034</v>
      </c>
      <c r="V175" s="20">
        <f>(1+$E$157)^-2</f>
        <v>0.76946752847029842</v>
      </c>
    </row>
    <row r="176" spans="2:22" x14ac:dyDescent="0.35">
      <c r="E176" s="20"/>
      <c r="F176" s="20"/>
      <c r="G176" s="20"/>
      <c r="H176" s="23">
        <f>E$26-E$96*(1+$E152)^-$C$5+E$32*$J176+SUMPRODUCT(E$33:E$62,$Q$174:$Q$203)+E$64*$J176+SUMPRODUCT(E$65:E$94,$Q$174:$Q$203)+E$28*$C$9*$K176+E$29*$C$12*$L176+E$30*$C$15*$M176</f>
        <v>0</v>
      </c>
      <c r="I176" s="20"/>
      <c r="J176" s="20">
        <f t="shared" si="2"/>
        <v>13.590326344967698</v>
      </c>
      <c r="K176" s="20">
        <f t="shared" si="3"/>
        <v>13.5903263449677</v>
      </c>
      <c r="L176" s="20">
        <f t="shared" si="4"/>
        <v>13.5903263449677</v>
      </c>
      <c r="M176" s="20">
        <f t="shared" si="5"/>
        <v>13.5903263449677</v>
      </c>
      <c r="N176" s="20"/>
      <c r="O176" s="20">
        <f t="shared" ref="O176:O203" si="6">(1+$E$150)^-$B35</f>
        <v>0.99700599001497947</v>
      </c>
      <c r="P176" s="20">
        <f t="shared" ref="P176:P203" si="7">(1+$E$151)^-$B35</f>
        <v>0.94232233454704462</v>
      </c>
      <c r="Q176" s="20">
        <f t="shared" ref="Q176:Q203" si="8">(1+$E$152)^-$B35</f>
        <v>0.88899635867091487</v>
      </c>
      <c r="R176" s="20">
        <f t="shared" ref="R176:R203" si="9">(1+$E$153)^-$B35</f>
        <v>0.8396192830323016</v>
      </c>
      <c r="S176" s="20">
        <f t="shared" ref="S176:S203" si="10">(1+$E$154)^-$B35</f>
        <v>0.79383224102016958</v>
      </c>
      <c r="T176" s="20">
        <f t="shared" ref="T176:T203" si="11">(1+$E$155)^-$B35</f>
        <v>0.75131480090157754</v>
      </c>
      <c r="U176" s="20">
        <f t="shared" ref="U176:U203" si="12">(1+$E$156)^-$B35</f>
        <v>0.71178024781341087</v>
      </c>
      <c r="V176" s="20">
        <f t="shared" ref="V176:V203" si="13">(1+$E$157)^-$B35</f>
        <v>0.67497151620201612</v>
      </c>
    </row>
    <row r="177" spans="5:22" x14ac:dyDescent="0.35">
      <c r="E177" s="20"/>
      <c r="F177" s="20"/>
      <c r="G177" s="20"/>
      <c r="H177" s="23">
        <f>E$26-E$96*(1+$E153)^-$C$5+E$32*$J177+SUMPRODUCT(E$33:E$62,$R$174:$R$203)+E$64*$J177+SUMPRODUCT(E$65:E$94,$R$174:$R$203)+E$28*$C$9*$K177+E$29*$C$12*$L177+E$30*$C$15*$M177</f>
        <v>0</v>
      </c>
      <c r="I177" s="20"/>
      <c r="J177" s="20">
        <f t="shared" si="2"/>
        <v>11.469921218565263</v>
      </c>
      <c r="K177" s="20">
        <f t="shared" si="3"/>
        <v>11.469921218565261</v>
      </c>
      <c r="L177" s="20">
        <f t="shared" si="4"/>
        <v>11.469921218565261</v>
      </c>
      <c r="M177" s="20">
        <f t="shared" si="5"/>
        <v>11.469921218565261</v>
      </c>
      <c r="N177" s="20"/>
      <c r="O177" s="20">
        <f t="shared" si="6"/>
        <v>0.99600998003494456</v>
      </c>
      <c r="P177" s="20">
        <f t="shared" si="7"/>
        <v>0.9238454260265142</v>
      </c>
      <c r="Q177" s="20">
        <f t="shared" si="8"/>
        <v>0.85480419102972571</v>
      </c>
      <c r="R177" s="20">
        <f t="shared" si="9"/>
        <v>0.79209366323802044</v>
      </c>
      <c r="S177" s="20">
        <f t="shared" si="10"/>
        <v>0.73502985279645328</v>
      </c>
      <c r="T177" s="20">
        <f t="shared" si="11"/>
        <v>0.68301345536507052</v>
      </c>
      <c r="U177" s="20">
        <f t="shared" si="12"/>
        <v>0.63551807840483121</v>
      </c>
      <c r="V177" s="20">
        <f t="shared" si="13"/>
        <v>0.59208027737018942</v>
      </c>
    </row>
    <row r="178" spans="5:22" x14ac:dyDescent="0.35">
      <c r="E178" s="20"/>
      <c r="F178" s="20"/>
      <c r="G178" s="20"/>
      <c r="H178" s="23">
        <f>E$26-E$96*(1+$E154)^-$C$5+E$32*$J178+SUMPRODUCT(E$33:E$62,$S$174:$S$203)+E$64*$J178+SUMPRODUCT(E$65:E$94,$S$174:$S$203)+E$28*$C$9*$K178+E$29*$C$12*$L178+E$30*$C$15*$M178</f>
        <v>0</v>
      </c>
      <c r="I178" s="20"/>
      <c r="J178" s="20">
        <f t="shared" si="2"/>
        <v>9.8181474074492936</v>
      </c>
      <c r="K178" s="20">
        <f t="shared" si="3"/>
        <v>9.8181474074492865</v>
      </c>
      <c r="L178" s="20">
        <f t="shared" si="4"/>
        <v>9.8181474074492865</v>
      </c>
      <c r="M178" s="20">
        <f t="shared" si="5"/>
        <v>9.8181474074492865</v>
      </c>
      <c r="N178" s="20"/>
      <c r="O178" s="20">
        <f t="shared" si="6"/>
        <v>0.99501496506987486</v>
      </c>
      <c r="P178" s="20">
        <f t="shared" si="7"/>
        <v>0.90573080982991594</v>
      </c>
      <c r="Q178" s="20">
        <f t="shared" si="8"/>
        <v>0.82192710675935154</v>
      </c>
      <c r="R178" s="20">
        <f t="shared" si="9"/>
        <v>0.74725817286605689</v>
      </c>
      <c r="S178" s="20">
        <f t="shared" si="10"/>
        <v>0.68058319703375303</v>
      </c>
      <c r="T178" s="20">
        <f t="shared" si="11"/>
        <v>0.62092132305915493</v>
      </c>
      <c r="U178" s="20">
        <f t="shared" si="12"/>
        <v>0.56742685571859919</v>
      </c>
      <c r="V178" s="20">
        <f t="shared" si="13"/>
        <v>0.51936866435981521</v>
      </c>
    </row>
    <row r="179" spans="5:22" x14ac:dyDescent="0.35">
      <c r="E179" s="20"/>
      <c r="F179" s="20"/>
      <c r="G179" s="20"/>
      <c r="H179" s="23">
        <f>E$26-E$96*(1+$E155)^-$C$5+E$32*$J179+SUMPRODUCT(E$33:E$62,$T$174:$T$203)+E$64*$J179+SUMPRODUCT(E$65:E$94,$T$174:$T$203)+E$28*$C$9*$K179+E$29*$C$12*$L179+E$30*$C$15*$M179</f>
        <v>0</v>
      </c>
      <c r="I179" s="20"/>
      <c r="J179" s="20">
        <f t="shared" si="2"/>
        <v>8.5135637197585652</v>
      </c>
      <c r="K179" s="20">
        <f t="shared" si="3"/>
        <v>8.5135637197585563</v>
      </c>
      <c r="L179" s="20">
        <f t="shared" si="4"/>
        <v>8.5135637197585563</v>
      </c>
      <c r="M179" s="20">
        <f t="shared" si="5"/>
        <v>8.5135637197585563</v>
      </c>
      <c r="N179" s="20"/>
      <c r="O179" s="20">
        <f t="shared" si="6"/>
        <v>0.99402094412574937</v>
      </c>
      <c r="P179" s="20">
        <f t="shared" si="7"/>
        <v>0.88797138218619198</v>
      </c>
      <c r="Q179" s="20">
        <f t="shared" si="8"/>
        <v>0.79031452573014571</v>
      </c>
      <c r="R179" s="20">
        <f t="shared" si="9"/>
        <v>0.70496054043967626</v>
      </c>
      <c r="S179" s="20">
        <f t="shared" si="10"/>
        <v>0.63016962688310452</v>
      </c>
      <c r="T179" s="20">
        <f t="shared" si="11"/>
        <v>0.56447393005377722</v>
      </c>
      <c r="U179" s="20">
        <f t="shared" si="12"/>
        <v>0.50663112117732068</v>
      </c>
      <c r="V179" s="20">
        <f t="shared" si="13"/>
        <v>0.45558654768404844</v>
      </c>
    </row>
    <row r="180" spans="5:22" x14ac:dyDescent="0.35">
      <c r="H180" s="23">
        <f>E$26-E$96*(1+$E156)^-$C$5+E$32*$J180+SUMPRODUCT(E$33:E$62,$U$174:$U$203)+E$64*$J180+SUMPRODUCT(E$65:E$94,$U$174:$U$203)+E$28*$C$9*$K180+E$29*$C$12*$L180+E$30*$C$15*$M180</f>
        <v>0</v>
      </c>
      <c r="I180" s="20"/>
      <c r="J180" s="20">
        <f t="shared" si="2"/>
        <v>7.4694436243275977</v>
      </c>
      <c r="K180" s="20">
        <f t="shared" si="3"/>
        <v>7.4694436243275897</v>
      </c>
      <c r="L180" s="20">
        <f t="shared" si="4"/>
        <v>7.4694436243275897</v>
      </c>
      <c r="M180" s="20">
        <f t="shared" si="5"/>
        <v>7.4694436243275897</v>
      </c>
      <c r="N180" s="20"/>
      <c r="O180" s="20">
        <f t="shared" si="6"/>
        <v>0.99302791620954001</v>
      </c>
      <c r="P180" s="20">
        <f t="shared" si="7"/>
        <v>0.87056017861391388</v>
      </c>
      <c r="Q180" s="20">
        <f t="shared" si="8"/>
        <v>0.75991781320206331</v>
      </c>
      <c r="R180" s="20">
        <f t="shared" si="9"/>
        <v>0.66505711362233599</v>
      </c>
      <c r="S180" s="20">
        <f t="shared" si="10"/>
        <v>0.58349039526213387</v>
      </c>
      <c r="T180" s="20">
        <f t="shared" si="11"/>
        <v>0.51315811823070645</v>
      </c>
      <c r="U180" s="20">
        <f t="shared" si="12"/>
        <v>0.45234921533689343</v>
      </c>
      <c r="V180" s="20">
        <f t="shared" si="13"/>
        <v>0.39963732252986695</v>
      </c>
    </row>
    <row r="181" spans="5:22" x14ac:dyDescent="0.35">
      <c r="H181" s="23">
        <f>E$26-E$96*(1+$E157)^-$C$5+E$32*$J181+SUMPRODUCT(E$33:E$62,$V$174:$V$203)+E$64*$J181+SUMPRODUCT(E$65:E$94,$V$174:$V$203)+E$28*$C$9*$K181+E$29*$C$12*$L181+E$30*$C$15*$M181</f>
        <v>0</v>
      </c>
      <c r="I181" s="20"/>
      <c r="J181" s="20">
        <f t="shared" si="2"/>
        <v>6.6231305516159438</v>
      </c>
      <c r="K181" s="20">
        <f t="shared" si="3"/>
        <v>6.6231305516159384</v>
      </c>
      <c r="L181" s="20">
        <f t="shared" si="4"/>
        <v>6.6231305516159384</v>
      </c>
      <c r="M181" s="20">
        <f t="shared" si="5"/>
        <v>6.6231305516159384</v>
      </c>
      <c r="N181" s="20"/>
      <c r="O181" s="20">
        <f t="shared" si="6"/>
        <v>0.99203588032921075</v>
      </c>
      <c r="P181" s="20">
        <f t="shared" si="7"/>
        <v>0.85349037119011162</v>
      </c>
      <c r="Q181" s="20">
        <f t="shared" si="8"/>
        <v>0.73069020500198378</v>
      </c>
      <c r="R181" s="20">
        <f t="shared" si="9"/>
        <v>0.62741237134182648</v>
      </c>
      <c r="S181" s="20">
        <f t="shared" si="10"/>
        <v>0.54026888450197574</v>
      </c>
      <c r="T181" s="20">
        <f t="shared" si="11"/>
        <v>0.46650738020973315</v>
      </c>
      <c r="U181" s="20">
        <f t="shared" si="12"/>
        <v>0.4038832279793691</v>
      </c>
      <c r="V181" s="20">
        <f t="shared" si="13"/>
        <v>0.35055905485076044</v>
      </c>
    </row>
    <row r="182" spans="5:22" x14ac:dyDescent="0.35">
      <c r="H182" s="20"/>
      <c r="I182" s="20"/>
      <c r="J182" s="20"/>
      <c r="K182" s="20"/>
      <c r="L182" s="20"/>
      <c r="M182" s="20"/>
      <c r="N182" s="20"/>
      <c r="O182" s="20">
        <f t="shared" si="6"/>
        <v>0.99104483549371702</v>
      </c>
      <c r="P182" s="20">
        <f t="shared" si="7"/>
        <v>0.83675526587265847</v>
      </c>
      <c r="Q182" s="20">
        <f t="shared" si="8"/>
        <v>0.70258673557883045</v>
      </c>
      <c r="R182" s="20">
        <f t="shared" si="9"/>
        <v>0.59189846353002495</v>
      </c>
      <c r="S182" s="20">
        <f t="shared" si="10"/>
        <v>0.50024896713145905</v>
      </c>
      <c r="T182" s="20">
        <f t="shared" si="11"/>
        <v>0.42409761837248466</v>
      </c>
      <c r="U182" s="20">
        <f t="shared" si="12"/>
        <v>0.36061002498157957</v>
      </c>
      <c r="V182" s="20">
        <f t="shared" si="13"/>
        <v>0.3075079428515442</v>
      </c>
    </row>
    <row r="183" spans="5:22" x14ac:dyDescent="0.35">
      <c r="H183" s="20"/>
      <c r="I183" s="20"/>
      <c r="J183" s="20"/>
      <c r="K183" s="20"/>
      <c r="L183" s="20"/>
      <c r="M183" s="20"/>
      <c r="N183" s="20"/>
      <c r="O183" s="20">
        <f t="shared" si="6"/>
        <v>0.99005478071300423</v>
      </c>
      <c r="P183" s="20">
        <f t="shared" si="7"/>
        <v>0.82034829987515534</v>
      </c>
      <c r="Q183" s="20">
        <f t="shared" si="8"/>
        <v>0.67556416882579851</v>
      </c>
      <c r="R183" s="20">
        <f t="shared" si="9"/>
        <v>0.55839477691511785</v>
      </c>
      <c r="S183" s="20">
        <f t="shared" si="10"/>
        <v>0.46319348808468425</v>
      </c>
      <c r="T183" s="20">
        <f t="shared" si="11"/>
        <v>0.38554328942953148</v>
      </c>
      <c r="U183" s="20">
        <f t="shared" si="12"/>
        <v>0.32197323659069599</v>
      </c>
      <c r="V183" s="20">
        <f t="shared" si="13"/>
        <v>0.26974380951889843</v>
      </c>
    </row>
    <row r="184" spans="5:22" x14ac:dyDescent="0.35">
      <c r="H184" s="20"/>
      <c r="I184" s="20"/>
      <c r="J184" s="20"/>
      <c r="K184" s="20"/>
      <c r="L184" s="20"/>
      <c r="M184" s="20"/>
      <c r="N184" s="20"/>
      <c r="O184" s="20">
        <f t="shared" si="6"/>
        <v>0.98906571499800655</v>
      </c>
      <c r="P184" s="20">
        <f t="shared" si="7"/>
        <v>0.80426303909328967</v>
      </c>
      <c r="Q184" s="20">
        <f t="shared" si="8"/>
        <v>0.6495809315632679</v>
      </c>
      <c r="R184" s="20">
        <f t="shared" si="9"/>
        <v>0.52678752539162055</v>
      </c>
      <c r="S184" s="20">
        <f t="shared" si="10"/>
        <v>0.42888285933767062</v>
      </c>
      <c r="T184" s="20">
        <f t="shared" si="11"/>
        <v>0.3504938994813922</v>
      </c>
      <c r="U184" s="20">
        <f t="shared" si="12"/>
        <v>0.28747610409883567</v>
      </c>
      <c r="V184" s="20">
        <f t="shared" si="13"/>
        <v>0.23661737677096348</v>
      </c>
    </row>
    <row r="185" spans="5:22" x14ac:dyDescent="0.35">
      <c r="H185" s="20"/>
      <c r="I185" s="20"/>
      <c r="J185" s="20"/>
      <c r="K185" s="20"/>
      <c r="L185" s="20"/>
      <c r="M185" s="20"/>
      <c r="N185" s="20"/>
      <c r="O185" s="20">
        <f t="shared" si="6"/>
        <v>0.98807763736064591</v>
      </c>
      <c r="P185" s="20">
        <f t="shared" si="7"/>
        <v>0.78849317558165644</v>
      </c>
      <c r="Q185" s="20">
        <f t="shared" si="8"/>
        <v>0.62459704958006512</v>
      </c>
      <c r="R185" s="20">
        <f t="shared" si="9"/>
        <v>0.4969693635770005</v>
      </c>
      <c r="S185" s="20">
        <f t="shared" si="10"/>
        <v>0.39711375864599124</v>
      </c>
      <c r="T185" s="20">
        <f t="shared" si="11"/>
        <v>0.31863081771035656</v>
      </c>
      <c r="U185" s="20">
        <f t="shared" si="12"/>
        <v>0.25667509294538904</v>
      </c>
      <c r="V185" s="20">
        <f t="shared" si="13"/>
        <v>0.20755910243066969</v>
      </c>
    </row>
    <row r="186" spans="5:22" x14ac:dyDescent="0.35">
      <c r="H186" s="20"/>
      <c r="I186" s="20"/>
      <c r="J186" s="20"/>
      <c r="K186" s="20"/>
      <c r="L186" s="20"/>
      <c r="M186" s="20"/>
      <c r="N186" s="20"/>
      <c r="O186" s="20">
        <f t="shared" si="6"/>
        <v>0.98709054681383213</v>
      </c>
      <c r="P186" s="20">
        <f t="shared" si="7"/>
        <v>0.77303252508005538</v>
      </c>
      <c r="Q186" s="20">
        <f t="shared" si="8"/>
        <v>0.600574086134678</v>
      </c>
      <c r="R186" s="20">
        <f t="shared" si="9"/>
        <v>0.46883902224245327</v>
      </c>
      <c r="S186" s="20">
        <f t="shared" si="10"/>
        <v>0.36769792467221413</v>
      </c>
      <c r="T186" s="20">
        <f t="shared" si="11"/>
        <v>0.28966437973668779</v>
      </c>
      <c r="U186" s="20">
        <f t="shared" si="12"/>
        <v>0.22917419012981158</v>
      </c>
      <c r="V186" s="20">
        <f t="shared" si="13"/>
        <v>0.18206938809707865</v>
      </c>
    </row>
    <row r="187" spans="5:22" x14ac:dyDescent="0.35">
      <c r="H187" s="20"/>
      <c r="I187" s="20"/>
      <c r="J187" s="20"/>
      <c r="K187" s="20"/>
      <c r="L187" s="20"/>
      <c r="M187" s="20"/>
      <c r="N187" s="20"/>
      <c r="O187" s="20">
        <f t="shared" si="6"/>
        <v>0.986104442371461</v>
      </c>
      <c r="P187" s="20">
        <f t="shared" si="7"/>
        <v>0.75787502458828948</v>
      </c>
      <c r="Q187" s="20">
        <f t="shared" si="8"/>
        <v>0.57747508282180582</v>
      </c>
      <c r="R187" s="20">
        <f t="shared" si="9"/>
        <v>0.44230096437967292</v>
      </c>
      <c r="S187" s="20">
        <f t="shared" si="10"/>
        <v>0.34046104136316119</v>
      </c>
      <c r="T187" s="20">
        <f t="shared" si="11"/>
        <v>0.26333125430607973</v>
      </c>
      <c r="U187" s="20">
        <f t="shared" si="12"/>
        <v>0.20461981261590317</v>
      </c>
      <c r="V187" s="20">
        <f t="shared" si="13"/>
        <v>0.15970998955884091</v>
      </c>
    </row>
    <row r="188" spans="5:22" x14ac:dyDescent="0.35">
      <c r="H188" s="20"/>
      <c r="I188" s="20"/>
      <c r="J188" s="20"/>
      <c r="K188" s="20"/>
      <c r="L188" s="20"/>
      <c r="M188" s="20"/>
      <c r="N188" s="20"/>
      <c r="O188" s="20">
        <f t="shared" si="6"/>
        <v>0.98511932304841265</v>
      </c>
      <c r="P188" s="20">
        <f t="shared" si="7"/>
        <v>0.74301472998851925</v>
      </c>
      <c r="Q188" s="20">
        <f t="shared" si="8"/>
        <v>0.55526450271327477</v>
      </c>
      <c r="R188" s="20">
        <f t="shared" si="9"/>
        <v>0.41726506073554037</v>
      </c>
      <c r="S188" s="20">
        <f t="shared" si="10"/>
        <v>0.31524170496588994</v>
      </c>
      <c r="T188" s="20">
        <f t="shared" si="11"/>
        <v>0.23939204936916339</v>
      </c>
      <c r="U188" s="20">
        <f t="shared" si="12"/>
        <v>0.18269626126419927</v>
      </c>
      <c r="V188" s="20">
        <f t="shared" si="13"/>
        <v>0.1400964820691587</v>
      </c>
    </row>
    <row r="189" spans="5:22" x14ac:dyDescent="0.35">
      <c r="H189" s="23"/>
      <c r="I189" s="20"/>
      <c r="J189" s="20"/>
      <c r="K189" s="20"/>
      <c r="L189" s="20"/>
      <c r="M189" s="20"/>
      <c r="N189" s="20"/>
      <c r="O189" s="20">
        <f t="shared" si="6"/>
        <v>0.98413518786055221</v>
      </c>
      <c r="P189" s="20">
        <f t="shared" si="7"/>
        <v>0.72844581371423445</v>
      </c>
      <c r="Q189" s="20">
        <f t="shared" si="8"/>
        <v>0.53390817568584104</v>
      </c>
      <c r="R189" s="20">
        <f t="shared" si="9"/>
        <v>0.39364628371277405</v>
      </c>
      <c r="S189" s="20">
        <f t="shared" si="10"/>
        <v>0.29189046756100923</v>
      </c>
      <c r="T189" s="20">
        <f t="shared" si="11"/>
        <v>0.21762913579014853</v>
      </c>
      <c r="U189" s="20">
        <f t="shared" si="12"/>
        <v>0.16312166184303503</v>
      </c>
      <c r="V189" s="20">
        <f t="shared" si="13"/>
        <v>0.12289165093785848</v>
      </c>
    </row>
    <row r="190" spans="5:22" x14ac:dyDescent="0.35">
      <c r="H190" s="23"/>
      <c r="I190" s="20"/>
      <c r="J190" s="20"/>
      <c r="K190" s="20"/>
      <c r="L190" s="20"/>
      <c r="M190" s="20"/>
      <c r="N190" s="20"/>
      <c r="O190" s="20">
        <f t="shared" si="6"/>
        <v>0.98315203582472765</v>
      </c>
      <c r="P190" s="20">
        <f t="shared" si="7"/>
        <v>0.7141625624649357</v>
      </c>
      <c r="Q190" s="20">
        <f t="shared" si="8"/>
        <v>0.51337324585177024</v>
      </c>
      <c r="R190" s="20">
        <f t="shared" si="9"/>
        <v>0.37136441859695657</v>
      </c>
      <c r="S190" s="20">
        <f t="shared" si="10"/>
        <v>0.27026895144537894</v>
      </c>
      <c r="T190" s="20">
        <f t="shared" si="11"/>
        <v>0.19784466890013502</v>
      </c>
      <c r="U190" s="20">
        <f t="shared" si="12"/>
        <v>0.14564434093128129</v>
      </c>
      <c r="V190" s="20">
        <f t="shared" si="13"/>
        <v>0.107799693805139</v>
      </c>
    </row>
    <row r="191" spans="5:22" x14ac:dyDescent="0.35">
      <c r="H191" s="23"/>
      <c r="I191" s="20"/>
      <c r="J191" s="20"/>
      <c r="K191" s="20"/>
      <c r="L191" s="20"/>
      <c r="M191" s="20"/>
      <c r="N191" s="20"/>
      <c r="O191" s="20">
        <f t="shared" si="6"/>
        <v>0.98216986595876898</v>
      </c>
      <c r="P191" s="20">
        <f t="shared" si="7"/>
        <v>0.7001593749656233</v>
      </c>
      <c r="Q191" s="20">
        <f t="shared" si="8"/>
        <v>0.49362812101131748</v>
      </c>
      <c r="R191" s="20">
        <f t="shared" si="9"/>
        <v>0.35034379112920433</v>
      </c>
      <c r="S191" s="20">
        <f t="shared" si="10"/>
        <v>0.25024902911609154</v>
      </c>
      <c r="T191" s="20">
        <f t="shared" si="11"/>
        <v>0.17985878990921364</v>
      </c>
      <c r="U191" s="20">
        <f t="shared" si="12"/>
        <v>0.13003959011721541</v>
      </c>
      <c r="V191" s="20">
        <f t="shared" si="13"/>
        <v>9.4561134916788581E-2</v>
      </c>
    </row>
    <row r="192" spans="5:22" x14ac:dyDescent="0.35">
      <c r="H192" s="23"/>
      <c r="I192" s="20"/>
      <c r="J192" s="20"/>
      <c r="K192" s="20"/>
      <c r="L192" s="20"/>
      <c r="M192" s="20"/>
      <c r="N192" s="20"/>
      <c r="O192" s="20">
        <f t="shared" si="6"/>
        <v>0.98118867728148773</v>
      </c>
      <c r="P192" s="20">
        <f t="shared" si="7"/>
        <v>0.68643075977021895</v>
      </c>
      <c r="Q192" s="20">
        <f t="shared" si="8"/>
        <v>0.47464242404934376</v>
      </c>
      <c r="R192" s="20">
        <f t="shared" si="9"/>
        <v>0.3305130104992493</v>
      </c>
      <c r="S192" s="20">
        <f t="shared" si="10"/>
        <v>0.23171206399638106</v>
      </c>
      <c r="T192" s="20">
        <f t="shared" si="11"/>
        <v>0.16350799082655781</v>
      </c>
      <c r="U192" s="20">
        <f t="shared" si="12"/>
        <v>0.1161067768903709</v>
      </c>
      <c r="V192" s="20">
        <f t="shared" si="13"/>
        <v>8.2948363962095248E-2</v>
      </c>
    </row>
    <row r="193" spans="8:22" x14ac:dyDescent="0.35">
      <c r="H193" s="23"/>
      <c r="I193" s="20"/>
      <c r="J193" s="20"/>
      <c r="K193" s="20"/>
      <c r="L193" s="20"/>
      <c r="M193" s="20"/>
      <c r="N193" s="20"/>
      <c r="O193" s="20">
        <f t="shared" si="6"/>
        <v>0.98020846881267509</v>
      </c>
      <c r="P193" s="20">
        <f t="shared" si="7"/>
        <v>0.67297133310805779</v>
      </c>
      <c r="Q193" s="20">
        <f t="shared" si="8"/>
        <v>0.45638694620129205</v>
      </c>
      <c r="R193" s="20">
        <f t="shared" si="9"/>
        <v>0.31180472688608429</v>
      </c>
      <c r="S193" s="20">
        <f t="shared" si="10"/>
        <v>0.21454820740405653</v>
      </c>
      <c r="T193" s="20">
        <f t="shared" si="11"/>
        <v>0.14864362802414349</v>
      </c>
      <c r="U193" s="20">
        <f t="shared" si="12"/>
        <v>0.1036667650806883</v>
      </c>
      <c r="V193" s="20">
        <f t="shared" si="13"/>
        <v>7.2761722773767745E-2</v>
      </c>
    </row>
    <row r="194" spans="8:22" x14ac:dyDescent="0.35">
      <c r="H194" s="20"/>
      <c r="I194" s="20"/>
      <c r="J194" s="20"/>
      <c r="K194" s="20"/>
      <c r="L194" s="20"/>
      <c r="M194" s="20"/>
      <c r="N194" s="20"/>
      <c r="O194" s="20">
        <f t="shared" si="6"/>
        <v>0.97922923957310215</v>
      </c>
      <c r="P194" s="20">
        <f t="shared" si="7"/>
        <v>0.65977581677260566</v>
      </c>
      <c r="Q194" s="20">
        <f t="shared" si="8"/>
        <v>0.43883360211662686</v>
      </c>
      <c r="R194" s="20">
        <f t="shared" si="9"/>
        <v>0.29415540272272095</v>
      </c>
      <c r="S194" s="20">
        <f t="shared" si="10"/>
        <v>0.19865574759634863</v>
      </c>
      <c r="T194" s="20">
        <f t="shared" si="11"/>
        <v>0.13513057093103953</v>
      </c>
      <c r="U194" s="20">
        <f t="shared" si="12"/>
        <v>9.2559611679185971E-2</v>
      </c>
      <c r="V194" s="20">
        <f t="shared" si="13"/>
        <v>6.3826072608568193E-2</v>
      </c>
    </row>
    <row r="195" spans="8:22" x14ac:dyDescent="0.35">
      <c r="H195" s="20"/>
      <c r="I195" s="20"/>
      <c r="J195" s="20"/>
      <c r="K195" s="20"/>
      <c r="L195" s="20"/>
      <c r="M195" s="20"/>
      <c r="N195" s="20"/>
      <c r="O195" s="20">
        <f t="shared" si="6"/>
        <v>0.97825098858451787</v>
      </c>
      <c r="P195" s="20">
        <f t="shared" si="7"/>
        <v>0.64683903605157411</v>
      </c>
      <c r="Q195" s="20">
        <f t="shared" si="8"/>
        <v>0.42195538665060278</v>
      </c>
      <c r="R195" s="20">
        <f t="shared" si="9"/>
        <v>0.27750509690822728</v>
      </c>
      <c r="S195" s="20">
        <f t="shared" si="10"/>
        <v>0.18394050703365611</v>
      </c>
      <c r="T195" s="20">
        <f t="shared" si="11"/>
        <v>0.12284597357367227</v>
      </c>
      <c r="U195" s="20">
        <f t="shared" si="12"/>
        <v>8.2642510427844609E-2</v>
      </c>
      <c r="V195" s="20">
        <f t="shared" si="13"/>
        <v>5.5987782989972097E-2</v>
      </c>
    </row>
    <row r="196" spans="8:22" x14ac:dyDescent="0.35">
      <c r="H196" s="20"/>
      <c r="I196" s="20"/>
      <c r="J196" s="20"/>
      <c r="K196" s="20"/>
      <c r="L196" s="20"/>
      <c r="M196" s="20"/>
      <c r="N196" s="20"/>
      <c r="O196" s="20">
        <f t="shared" si="6"/>
        <v>0.97727371486964842</v>
      </c>
      <c r="P196" s="20">
        <f t="shared" si="7"/>
        <v>0.63415591769762181</v>
      </c>
      <c r="Q196" s="20">
        <f t="shared" si="8"/>
        <v>0.40572633331788732</v>
      </c>
      <c r="R196" s="20">
        <f t="shared" si="9"/>
        <v>0.26179726123417668</v>
      </c>
      <c r="S196" s="20">
        <f t="shared" si="10"/>
        <v>0.17031528429042234</v>
      </c>
      <c r="T196" s="20">
        <f t="shared" si="11"/>
        <v>0.11167815779424752</v>
      </c>
      <c r="U196" s="20">
        <f t="shared" si="12"/>
        <v>7.3787955739146982E-2</v>
      </c>
      <c r="V196" s="20">
        <f t="shared" si="13"/>
        <v>4.9112090342080778E-2</v>
      </c>
    </row>
    <row r="197" spans="8:22" x14ac:dyDescent="0.35">
      <c r="H197" s="20"/>
      <c r="I197" s="20"/>
      <c r="J197" s="20"/>
      <c r="K197" s="20"/>
      <c r="L197" s="20"/>
      <c r="M197" s="20"/>
      <c r="N197" s="20"/>
      <c r="O197" s="20">
        <f t="shared" si="6"/>
        <v>0.976297417452196</v>
      </c>
      <c r="P197" s="20">
        <f t="shared" si="7"/>
        <v>0.62172148793884485</v>
      </c>
      <c r="Q197" s="20">
        <f t="shared" si="8"/>
        <v>0.39012147434412242</v>
      </c>
      <c r="R197" s="20">
        <f t="shared" si="9"/>
        <v>0.24697854833412897</v>
      </c>
      <c r="S197" s="20">
        <f t="shared" si="10"/>
        <v>0.1576993373059466</v>
      </c>
      <c r="T197" s="20">
        <f t="shared" si="11"/>
        <v>0.10152559799477048</v>
      </c>
      <c r="U197" s="20">
        <f t="shared" si="12"/>
        <v>6.5882103338524081E-2</v>
      </c>
      <c r="V197" s="20">
        <f t="shared" si="13"/>
        <v>4.3080781001825233E-2</v>
      </c>
    </row>
    <row r="198" spans="8:22" x14ac:dyDescent="0.35">
      <c r="H198" s="20"/>
      <c r="I198" s="20"/>
      <c r="J198" s="20"/>
      <c r="K198" s="20"/>
      <c r="L198" s="20"/>
      <c r="M198" s="20"/>
      <c r="N198" s="20"/>
      <c r="O198" s="20">
        <f t="shared" si="6"/>
        <v>0.97532209535683934</v>
      </c>
      <c r="P198" s="20">
        <f t="shared" si="7"/>
        <v>0.60953087052827937</v>
      </c>
      <c r="Q198" s="20">
        <f t="shared" si="8"/>
        <v>0.37511680225396377</v>
      </c>
      <c r="R198" s="20">
        <f t="shared" si="9"/>
        <v>0.23299863050389524</v>
      </c>
      <c r="S198" s="20">
        <f t="shared" si="10"/>
        <v>0.1460179049129135</v>
      </c>
      <c r="T198" s="20">
        <f t="shared" si="11"/>
        <v>9.2295998177064048E-2</v>
      </c>
      <c r="U198" s="20">
        <f t="shared" si="12"/>
        <v>5.8823306552253637E-2</v>
      </c>
      <c r="V198" s="20">
        <f t="shared" si="13"/>
        <v>3.779015877353091E-2</v>
      </c>
    </row>
    <row r="199" spans="8:22" x14ac:dyDescent="0.35">
      <c r="H199" s="20"/>
      <c r="I199" s="20"/>
      <c r="J199" s="20"/>
      <c r="K199" s="20"/>
      <c r="L199" s="20"/>
      <c r="M199" s="20"/>
      <c r="N199" s="20"/>
      <c r="O199" s="20">
        <f t="shared" si="6"/>
        <v>0.97434774760923015</v>
      </c>
      <c r="P199" s="20">
        <f t="shared" si="7"/>
        <v>0.59757928483164635</v>
      </c>
      <c r="Q199" s="20">
        <f t="shared" si="8"/>
        <v>0.36068923293650368</v>
      </c>
      <c r="R199" s="20">
        <f t="shared" si="9"/>
        <v>0.21981002877725966</v>
      </c>
      <c r="S199" s="20">
        <f t="shared" si="10"/>
        <v>0.13520176380825324</v>
      </c>
      <c r="T199" s="20">
        <f t="shared" si="11"/>
        <v>8.3905452888240042E-2</v>
      </c>
      <c r="U199" s="20">
        <f t="shared" si="12"/>
        <v>5.2520809421655032E-2</v>
      </c>
      <c r="V199" s="20">
        <f t="shared" si="13"/>
        <v>3.3149262082044648E-2</v>
      </c>
    </row>
    <row r="200" spans="8:22" x14ac:dyDescent="0.35">
      <c r="H200" s="20"/>
      <c r="I200" s="20"/>
      <c r="J200" s="20"/>
      <c r="K200" s="20"/>
      <c r="L200" s="20"/>
      <c r="M200" s="20"/>
      <c r="N200" s="20"/>
      <c r="O200" s="20">
        <f t="shared" si="6"/>
        <v>0.97337437323599441</v>
      </c>
      <c r="P200" s="20">
        <f t="shared" si="7"/>
        <v>0.58586204395259456</v>
      </c>
      <c r="Q200" s="20">
        <f t="shared" si="8"/>
        <v>0.3468165701312535</v>
      </c>
      <c r="R200" s="20">
        <f t="shared" si="9"/>
        <v>0.20736795167666003</v>
      </c>
      <c r="S200" s="20">
        <f t="shared" si="10"/>
        <v>0.12518681834097523</v>
      </c>
      <c r="T200" s="20">
        <f t="shared" si="11"/>
        <v>7.6277684443854576E-2</v>
      </c>
      <c r="U200" s="20">
        <f t="shared" si="12"/>
        <v>4.6893579840763415E-2</v>
      </c>
      <c r="V200" s="20">
        <f t="shared" si="13"/>
        <v>2.9078300071968988E-2</v>
      </c>
    </row>
    <row r="201" spans="8:22" x14ac:dyDescent="0.35">
      <c r="H201" s="20"/>
      <c r="I201" s="20"/>
      <c r="J201" s="20"/>
      <c r="K201" s="20"/>
      <c r="L201" s="20"/>
      <c r="M201" s="20"/>
      <c r="N201" s="20"/>
      <c r="O201" s="20">
        <f t="shared" si="6"/>
        <v>0.97240197126472983</v>
      </c>
      <c r="P201" s="20">
        <f t="shared" si="7"/>
        <v>0.57437455289470041</v>
      </c>
      <c r="Q201" s="20">
        <f t="shared" si="8"/>
        <v>0.3334774712800514</v>
      </c>
      <c r="R201" s="20">
        <f t="shared" si="9"/>
        <v>0.1956301430911887</v>
      </c>
      <c r="S201" s="20">
        <f t="shared" si="10"/>
        <v>0.11591372068608817</v>
      </c>
      <c r="T201" s="20">
        <f t="shared" si="11"/>
        <v>6.9343349494413245E-2</v>
      </c>
      <c r="U201" s="20">
        <f t="shared" si="12"/>
        <v>4.1869267714967337E-2</v>
      </c>
      <c r="V201" s="20">
        <f t="shared" si="13"/>
        <v>2.5507280764885072E-2</v>
      </c>
    </row>
    <row r="202" spans="8:22" x14ac:dyDescent="0.35">
      <c r="H202" s="20"/>
      <c r="I202" s="20"/>
      <c r="J202" s="20"/>
      <c r="K202" s="20"/>
      <c r="L202" s="20"/>
      <c r="M202" s="20"/>
      <c r="N202" s="20"/>
      <c r="O202" s="20">
        <f t="shared" si="6"/>
        <v>0.97143054072400581</v>
      </c>
      <c r="P202" s="20">
        <f t="shared" si="7"/>
        <v>0.56311230675951029</v>
      </c>
      <c r="Q202" s="20">
        <f t="shared" si="8"/>
        <v>0.32065141469235708</v>
      </c>
      <c r="R202" s="20">
        <f t="shared" si="9"/>
        <v>0.18455673876527234</v>
      </c>
      <c r="S202" s="20">
        <f t="shared" si="10"/>
        <v>0.10732751915378534</v>
      </c>
      <c r="T202" s="20">
        <f t="shared" si="11"/>
        <v>6.3039408631284766E-2</v>
      </c>
      <c r="U202" s="20">
        <f t="shared" si="12"/>
        <v>3.7383274745506546E-2</v>
      </c>
      <c r="V202" s="20">
        <f t="shared" si="13"/>
        <v>2.2374807688495677E-2</v>
      </c>
    </row>
    <row r="203" spans="8:22" x14ac:dyDescent="0.35">
      <c r="H203" s="20"/>
      <c r="I203" s="20"/>
      <c r="J203" s="20"/>
      <c r="K203" s="20"/>
      <c r="L203" s="20"/>
      <c r="M203" s="20"/>
      <c r="N203" s="20"/>
      <c r="O203" s="20">
        <f t="shared" si="6"/>
        <v>0.97046008064336287</v>
      </c>
      <c r="P203" s="20">
        <f t="shared" si="7"/>
        <v>0.55207088897991197</v>
      </c>
      <c r="Q203" s="20">
        <f t="shared" si="8"/>
        <v>0.30831866797342034</v>
      </c>
      <c r="R203" s="20">
        <f t="shared" si="9"/>
        <v>0.17411013091063426</v>
      </c>
      <c r="S203" s="20">
        <f t="shared" si="10"/>
        <v>9.9377332549801231E-2</v>
      </c>
      <c r="T203" s="20">
        <f t="shared" si="11"/>
        <v>5.7308553301167964E-2</v>
      </c>
      <c r="U203" s="20">
        <f t="shared" si="12"/>
        <v>3.3377923879916553E-2</v>
      </c>
      <c r="V203" s="20">
        <f t="shared" si="13"/>
        <v>1.9627024288154101E-2</v>
      </c>
    </row>
  </sheetData>
  <sheetProtection sheet="1" objects="1" scenarios="1"/>
  <protectedRanges>
    <protectedRange sqref="C8:C16 C5:C6" name="Generella_indata"/>
    <protectedRange sqref="C25:E26 C28:E30 C32:E62 C64:E94 C96:E96" name="Åtgärder_utrustningsalternativ"/>
  </protectedRanges>
  <mergeCells count="2">
    <mergeCell ref="A8:A17"/>
    <mergeCell ref="B110:E110"/>
  </mergeCells>
  <pageMargins left="0.7" right="0.7" top="0.75" bottom="0.75" header="0.3" footer="0.3"/>
  <pageSetup paperSize="9" scale="76" fitToHeight="0" orientation="landscape" r:id="rId1"/>
  <rowBreaks count="4" manualBreakCount="4">
    <brk id="97" max="16383" man="1"/>
    <brk id="115" max="16383" man="1"/>
    <brk id="146" max="16383" man="1"/>
    <brk id="17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972ED-FF45-4A34-B92F-BCCCB102254C}">
  <sheetPr codeName="Blad3">
    <pageSetUpPr fitToPage="1"/>
  </sheetPr>
  <dimension ref="A1:V206"/>
  <sheetViews>
    <sheetView showGridLines="0" tabSelected="1" topLeftCell="B120" zoomScaleNormal="100" workbookViewId="0">
      <selection activeCell="E8" sqref="E8"/>
    </sheetView>
  </sheetViews>
  <sheetFormatPr defaultRowHeight="14.5" outlineLevelRow="1" x14ac:dyDescent="0.35"/>
  <cols>
    <col min="1" max="1" width="24" customWidth="1"/>
    <col min="2" max="2" width="40" customWidth="1"/>
    <col min="3" max="5" width="14.54296875" customWidth="1"/>
    <col min="6" max="6" width="9.81640625" customWidth="1"/>
    <col min="7" max="7" width="13.7265625" customWidth="1"/>
    <col min="8" max="8" width="39.7265625" customWidth="1"/>
    <col min="9" max="9" width="14.54296875" customWidth="1"/>
    <col min="13" max="13" width="11.1796875" customWidth="1"/>
    <col min="14" max="15" width="10.7265625" customWidth="1"/>
  </cols>
  <sheetData>
    <row r="1" spans="1:18" ht="24" thickBot="1" x14ac:dyDescent="0.6">
      <c r="A1" s="21" t="s">
        <v>24</v>
      </c>
      <c r="B1" s="21"/>
      <c r="C1" s="21"/>
      <c r="D1" s="21"/>
      <c r="E1" s="21"/>
      <c r="F1" s="21"/>
    </row>
    <row r="2" spans="1:18" ht="15" thickTop="1" x14ac:dyDescent="0.35">
      <c r="A2" s="45"/>
    </row>
    <row r="3" spans="1:18" ht="17.5" thickBot="1" x14ac:dyDescent="0.45">
      <c r="A3" s="11"/>
      <c r="B3" s="9" t="s">
        <v>25</v>
      </c>
      <c r="C3" s="9"/>
      <c r="D3" s="9"/>
      <c r="E3" s="9"/>
      <c r="H3" s="9" t="s">
        <v>88</v>
      </c>
    </row>
    <row r="4" spans="1:18" ht="15" thickTop="1" x14ac:dyDescent="0.35">
      <c r="A4" s="12"/>
    </row>
    <row r="5" spans="1:18" x14ac:dyDescent="0.35">
      <c r="A5" s="12"/>
      <c r="B5" t="s">
        <v>70</v>
      </c>
      <c r="C5" s="5">
        <v>20</v>
      </c>
      <c r="H5" t="s">
        <v>84</v>
      </c>
      <c r="I5" s="33">
        <v>100</v>
      </c>
    </row>
    <row r="6" spans="1:18" x14ac:dyDescent="0.35">
      <c r="A6" s="12"/>
      <c r="B6" t="s">
        <v>0</v>
      </c>
      <c r="C6" s="7">
        <v>0.04</v>
      </c>
      <c r="H6" t="s">
        <v>96</v>
      </c>
      <c r="I6" s="33">
        <f>24*365</f>
        <v>8760</v>
      </c>
    </row>
    <row r="7" spans="1:18" x14ac:dyDescent="0.35">
      <c r="A7" s="12"/>
      <c r="H7" t="s">
        <v>89</v>
      </c>
      <c r="I7" s="41">
        <v>0.8</v>
      </c>
      <c r="J7" s="40" t="s">
        <v>98</v>
      </c>
    </row>
    <row r="8" spans="1:18" ht="15" customHeight="1" x14ac:dyDescent="0.35">
      <c r="A8" s="46"/>
      <c r="B8" t="s">
        <v>3</v>
      </c>
      <c r="C8" s="5" t="s">
        <v>12</v>
      </c>
      <c r="H8" t="s">
        <v>85</v>
      </c>
      <c r="I8" s="42">
        <f>I5*I6/1000</f>
        <v>876</v>
      </c>
      <c r="J8" s="40" t="s">
        <v>94</v>
      </c>
    </row>
    <row r="9" spans="1:18" x14ac:dyDescent="0.35">
      <c r="A9" s="46"/>
      <c r="B9" t="s">
        <v>11</v>
      </c>
      <c r="C9" s="28">
        <v>1.2</v>
      </c>
      <c r="H9" t="s">
        <v>86</v>
      </c>
      <c r="I9" s="43">
        <f>I8*(1-I7)</f>
        <v>175.19999999999996</v>
      </c>
      <c r="J9" s="40" t="s">
        <v>95</v>
      </c>
      <c r="R9" s="6"/>
    </row>
    <row r="10" spans="1:18" ht="15" customHeight="1" x14ac:dyDescent="0.35">
      <c r="A10" s="46"/>
      <c r="B10" t="s">
        <v>48</v>
      </c>
      <c r="C10" s="7">
        <v>0.06</v>
      </c>
      <c r="H10" t="s">
        <v>87</v>
      </c>
      <c r="I10" s="44">
        <f>I8-I9</f>
        <v>700.80000000000007</v>
      </c>
    </row>
    <row r="11" spans="1:18" ht="15" customHeight="1" x14ac:dyDescent="0.35">
      <c r="A11" s="46"/>
      <c r="B11" t="s">
        <v>92</v>
      </c>
      <c r="C11" s="5">
        <v>125</v>
      </c>
      <c r="H11" t="s">
        <v>93</v>
      </c>
      <c r="I11" s="44">
        <f>I10*C11/1000</f>
        <v>87.600000000000009</v>
      </c>
    </row>
    <row r="12" spans="1:18" x14ac:dyDescent="0.35">
      <c r="A12" s="46"/>
      <c r="B12" t="s">
        <v>4</v>
      </c>
      <c r="C12" s="5"/>
    </row>
    <row r="13" spans="1:18" ht="15" customHeight="1" x14ac:dyDescent="0.35">
      <c r="A13" s="46"/>
      <c r="B13" t="s">
        <v>11</v>
      </c>
      <c r="C13" s="8"/>
    </row>
    <row r="14" spans="1:18" x14ac:dyDescent="0.35">
      <c r="A14" s="46"/>
      <c r="B14" t="s">
        <v>48</v>
      </c>
      <c r="C14" s="7"/>
    </row>
    <row r="15" spans="1:18" x14ac:dyDescent="0.35">
      <c r="A15" s="46"/>
      <c r="B15" t="s">
        <v>92</v>
      </c>
      <c r="C15" s="5"/>
    </row>
    <row r="16" spans="1:18" ht="15" customHeight="1" x14ac:dyDescent="0.35">
      <c r="A16" s="46"/>
      <c r="B16" t="s">
        <v>8</v>
      </c>
      <c r="C16" s="5"/>
    </row>
    <row r="17" spans="1:6" ht="15" customHeight="1" x14ac:dyDescent="0.35">
      <c r="A17" s="46"/>
      <c r="B17" t="s">
        <v>11</v>
      </c>
      <c r="C17" s="8"/>
    </row>
    <row r="18" spans="1:6" ht="15" customHeight="1" x14ac:dyDescent="0.35">
      <c r="A18" s="46"/>
      <c r="B18" t="s">
        <v>48</v>
      </c>
      <c r="C18" s="7"/>
    </row>
    <row r="19" spans="1:6" ht="15" customHeight="1" x14ac:dyDescent="0.35">
      <c r="A19" s="46"/>
      <c r="B19" t="s">
        <v>92</v>
      </c>
      <c r="C19" s="5"/>
    </row>
    <row r="20" spans="1:6" x14ac:dyDescent="0.35">
      <c r="A20" s="46"/>
    </row>
    <row r="21" spans="1:6" hidden="1" x14ac:dyDescent="0.35">
      <c r="A21" s="12"/>
      <c r="B21" s="27" t="s">
        <v>54</v>
      </c>
      <c r="C21" s="25">
        <f>IF($C$6=0,$C$5,(1-(1+$C$6)^-$C$5)/$C$6)</f>
        <v>13.590326344967698</v>
      </c>
    </row>
    <row r="22" spans="1:6" hidden="1" x14ac:dyDescent="0.35">
      <c r="A22" s="26"/>
      <c r="B22" s="27" t="s">
        <v>55</v>
      </c>
      <c r="C22" s="25">
        <f>IF($C$6=$C$10,$C$5,((1-((1+$C$10)/(1+$C$6))^$C$5)/((1+$C$6)/(1+$C$10)-1)))</f>
        <v>24.57582250350411</v>
      </c>
    </row>
    <row r="23" spans="1:6" hidden="1" x14ac:dyDescent="0.35">
      <c r="A23" s="26"/>
      <c r="B23" s="27" t="s">
        <v>56</v>
      </c>
      <c r="C23" s="25">
        <f>IF($C$6=$C$14,$C$5,((1-((1+$C$14)/(1+$C$6))^$C$5)/((1+$C$6)/(1+$C$14)-1)))</f>
        <v>13.5903263449677</v>
      </c>
    </row>
    <row r="24" spans="1:6" hidden="1" x14ac:dyDescent="0.35">
      <c r="A24" s="26"/>
      <c r="B24" s="27" t="s">
        <v>57</v>
      </c>
      <c r="C24" s="25">
        <f>IF($C$6=$C$18,$C$5,((1-((1+$C$18)/(1+$C$6))^$C$5)/((1+$C$6)/(1+$C$18)-1)))</f>
        <v>13.5903263449677</v>
      </c>
    </row>
    <row r="25" spans="1:6" x14ac:dyDescent="0.35">
      <c r="A25" s="12"/>
    </row>
    <row r="26" spans="1:6" ht="17.5" thickBot="1" x14ac:dyDescent="0.45">
      <c r="A26" s="12"/>
      <c r="B26" s="9" t="s">
        <v>26</v>
      </c>
      <c r="C26" s="9"/>
      <c r="D26" s="9"/>
      <c r="E26" s="9"/>
    </row>
    <row r="27" spans="1:6" ht="15" thickTop="1" x14ac:dyDescent="0.35">
      <c r="A27" s="12"/>
      <c r="C27" s="2" t="s">
        <v>13</v>
      </c>
      <c r="D27" s="2" t="s">
        <v>14</v>
      </c>
      <c r="E27" s="2" t="s">
        <v>15</v>
      </c>
    </row>
    <row r="28" spans="1:6" ht="43.5" x14ac:dyDescent="0.35">
      <c r="A28" s="12"/>
      <c r="B28" t="s">
        <v>10</v>
      </c>
      <c r="C28" s="3" t="s">
        <v>90</v>
      </c>
      <c r="D28" s="3" t="s">
        <v>91</v>
      </c>
      <c r="E28" s="3"/>
    </row>
    <row r="29" spans="1:6" x14ac:dyDescent="0.35">
      <c r="A29" s="12"/>
      <c r="B29" t="s">
        <v>1</v>
      </c>
      <c r="C29" s="5">
        <v>0</v>
      </c>
      <c r="D29" s="5">
        <v>5500</v>
      </c>
      <c r="E29" s="5"/>
      <c r="F29" s="40" t="s">
        <v>97</v>
      </c>
    </row>
    <row r="30" spans="1:6" x14ac:dyDescent="0.35">
      <c r="A30" s="12"/>
      <c r="C30" s="4"/>
      <c r="D30" s="4"/>
      <c r="E30" s="4"/>
    </row>
    <row r="31" spans="1:6" ht="15" customHeight="1" x14ac:dyDescent="0.35">
      <c r="A31" s="13"/>
      <c r="B31" t="s">
        <v>16</v>
      </c>
      <c r="C31" s="5">
        <f>I8</f>
        <v>876</v>
      </c>
      <c r="D31" s="32">
        <f>I9</f>
        <v>175.19999999999996</v>
      </c>
      <c r="E31" s="5"/>
    </row>
    <row r="32" spans="1:6" x14ac:dyDescent="0.35">
      <c r="A32" s="12"/>
      <c r="B32" t="s">
        <v>17</v>
      </c>
      <c r="C32" s="5"/>
      <c r="D32" s="5"/>
      <c r="E32" s="5"/>
    </row>
    <row r="33" spans="1:6" x14ac:dyDescent="0.35">
      <c r="A33" s="12"/>
      <c r="B33" t="s">
        <v>18</v>
      </c>
      <c r="C33" s="5"/>
      <c r="D33" s="5"/>
      <c r="E33" s="5"/>
    </row>
    <row r="34" spans="1:6" x14ac:dyDescent="0.35">
      <c r="A34" s="12"/>
      <c r="C34" s="4"/>
      <c r="D34" s="4"/>
      <c r="E34" s="4"/>
    </row>
    <row r="35" spans="1:6" x14ac:dyDescent="0.35">
      <c r="A35" s="12"/>
      <c r="B35" t="s">
        <v>19</v>
      </c>
      <c r="C35" s="5">
        <v>200</v>
      </c>
      <c r="D35" s="5">
        <v>200</v>
      </c>
      <c r="E35" s="33"/>
    </row>
    <row r="36" spans="1:6" hidden="1" outlineLevel="1" x14ac:dyDescent="0.35">
      <c r="A36" s="12"/>
      <c r="B36" s="6" t="s">
        <v>20</v>
      </c>
      <c r="C36" s="33"/>
      <c r="D36" s="33"/>
      <c r="E36" s="33"/>
      <c r="F36" s="20">
        <f>(1+$C$6)^-1</f>
        <v>0.96153846153846145</v>
      </c>
    </row>
    <row r="37" spans="1:6" hidden="1" outlineLevel="1" x14ac:dyDescent="0.35">
      <c r="A37" s="12"/>
      <c r="B37" s="6" t="s">
        <v>21</v>
      </c>
      <c r="C37" s="34"/>
      <c r="D37" s="33"/>
      <c r="E37" s="33"/>
      <c r="F37" s="20">
        <f>(1+$C$6)^-2</f>
        <v>0.92455621301775137</v>
      </c>
    </row>
    <row r="38" spans="1:6" hidden="1" outlineLevel="1" x14ac:dyDescent="0.35">
      <c r="A38" s="12"/>
      <c r="B38">
        <v>3</v>
      </c>
      <c r="C38" s="33"/>
      <c r="D38" s="33"/>
      <c r="E38" s="33"/>
      <c r="F38" s="20">
        <f>(1+$C$6)^-B38</f>
        <v>0.88899635867091487</v>
      </c>
    </row>
    <row r="39" spans="1:6" hidden="1" outlineLevel="1" x14ac:dyDescent="0.35">
      <c r="A39" s="12"/>
      <c r="B39">
        <v>4</v>
      </c>
      <c r="C39" s="33"/>
      <c r="D39" s="33"/>
      <c r="E39" s="33"/>
      <c r="F39" s="20">
        <f t="shared" ref="F39:F65" si="0">(1+$C$6)^-B39</f>
        <v>0.85480419102972571</v>
      </c>
    </row>
    <row r="40" spans="1:6" hidden="1" outlineLevel="1" x14ac:dyDescent="0.35">
      <c r="A40" s="12"/>
      <c r="B40">
        <v>5</v>
      </c>
      <c r="C40" s="33"/>
      <c r="D40" s="33"/>
      <c r="E40" s="33"/>
      <c r="F40" s="20">
        <f t="shared" si="0"/>
        <v>0.82192710675935154</v>
      </c>
    </row>
    <row r="41" spans="1:6" hidden="1" outlineLevel="1" x14ac:dyDescent="0.35">
      <c r="A41" s="12"/>
      <c r="B41">
        <v>6</v>
      </c>
      <c r="C41" s="33"/>
      <c r="D41" s="33"/>
      <c r="E41" s="33"/>
      <c r="F41" s="20">
        <f t="shared" si="0"/>
        <v>0.79031452573014571</v>
      </c>
    </row>
    <row r="42" spans="1:6" hidden="1" outlineLevel="1" x14ac:dyDescent="0.35">
      <c r="A42" s="12"/>
      <c r="B42">
        <v>7</v>
      </c>
      <c r="C42" s="33"/>
      <c r="D42" s="33"/>
      <c r="E42" s="33"/>
      <c r="F42" s="20">
        <f t="shared" si="0"/>
        <v>0.75991781320206331</v>
      </c>
    </row>
    <row r="43" spans="1:6" hidden="1" outlineLevel="1" x14ac:dyDescent="0.35">
      <c r="A43" s="12"/>
      <c r="B43">
        <v>8</v>
      </c>
      <c r="C43" s="33"/>
      <c r="D43" s="33"/>
      <c r="E43" s="33"/>
      <c r="F43" s="20">
        <f t="shared" si="0"/>
        <v>0.73069020500198378</v>
      </c>
    </row>
    <row r="44" spans="1:6" hidden="1" outlineLevel="1" x14ac:dyDescent="0.35">
      <c r="A44" s="12"/>
      <c r="B44">
        <v>9</v>
      </c>
      <c r="C44" s="33"/>
      <c r="D44" s="33"/>
      <c r="E44" s="33"/>
      <c r="F44" s="20">
        <f t="shared" si="0"/>
        <v>0.70258673557883045</v>
      </c>
    </row>
    <row r="45" spans="1:6" hidden="1" outlineLevel="1" x14ac:dyDescent="0.35">
      <c r="A45" s="12"/>
      <c r="B45">
        <v>10</v>
      </c>
      <c r="C45" s="33"/>
      <c r="D45" s="33"/>
      <c r="E45" s="33"/>
      <c r="F45" s="20">
        <f t="shared" si="0"/>
        <v>0.67556416882579851</v>
      </c>
    </row>
    <row r="46" spans="1:6" hidden="1" outlineLevel="1" x14ac:dyDescent="0.35">
      <c r="A46" s="12"/>
      <c r="B46">
        <v>11</v>
      </c>
      <c r="C46" s="33"/>
      <c r="D46" s="33"/>
      <c r="E46" s="33"/>
      <c r="F46" s="20">
        <f t="shared" si="0"/>
        <v>0.6495809315632679</v>
      </c>
    </row>
    <row r="47" spans="1:6" hidden="1" outlineLevel="1" x14ac:dyDescent="0.35">
      <c r="A47" s="12"/>
      <c r="B47">
        <v>12</v>
      </c>
      <c r="C47" s="33"/>
      <c r="D47" s="33"/>
      <c r="E47" s="33"/>
      <c r="F47" s="20">
        <f t="shared" si="0"/>
        <v>0.62459704958006512</v>
      </c>
    </row>
    <row r="48" spans="1:6" hidden="1" outlineLevel="1" x14ac:dyDescent="0.35">
      <c r="A48" s="12"/>
      <c r="B48">
        <v>13</v>
      </c>
      <c r="C48" s="33"/>
      <c r="D48" s="33"/>
      <c r="E48" s="33"/>
      <c r="F48" s="20">
        <f t="shared" si="0"/>
        <v>0.600574086134678</v>
      </c>
    </row>
    <row r="49" spans="1:6" hidden="1" outlineLevel="1" x14ac:dyDescent="0.35">
      <c r="A49" s="12"/>
      <c r="B49">
        <v>14</v>
      </c>
      <c r="C49" s="33"/>
      <c r="D49" s="33"/>
      <c r="E49" s="33"/>
      <c r="F49" s="20">
        <f t="shared" si="0"/>
        <v>0.57747508282180582</v>
      </c>
    </row>
    <row r="50" spans="1:6" hidden="1" outlineLevel="1" x14ac:dyDescent="0.35">
      <c r="A50" s="12"/>
      <c r="B50">
        <v>15</v>
      </c>
      <c r="C50" s="33"/>
      <c r="D50" s="33"/>
      <c r="E50" s="33"/>
      <c r="F50" s="20">
        <f t="shared" si="0"/>
        <v>0.55526450271327477</v>
      </c>
    </row>
    <row r="51" spans="1:6" hidden="1" outlineLevel="1" x14ac:dyDescent="0.35">
      <c r="A51" s="12"/>
      <c r="B51">
        <v>16</v>
      </c>
      <c r="C51" s="33"/>
      <c r="D51" s="33"/>
      <c r="E51" s="33"/>
      <c r="F51" s="20">
        <f t="shared" si="0"/>
        <v>0.53390817568584104</v>
      </c>
    </row>
    <row r="52" spans="1:6" hidden="1" outlineLevel="1" x14ac:dyDescent="0.35">
      <c r="A52" s="12"/>
      <c r="B52">
        <v>17</v>
      </c>
      <c r="C52" s="33"/>
      <c r="D52" s="33"/>
      <c r="E52" s="33"/>
      <c r="F52" s="20">
        <f t="shared" si="0"/>
        <v>0.51337324585177024</v>
      </c>
    </row>
    <row r="53" spans="1:6" hidden="1" outlineLevel="1" x14ac:dyDescent="0.35">
      <c r="A53" s="12"/>
      <c r="B53">
        <v>18</v>
      </c>
      <c r="C53" s="33"/>
      <c r="D53" s="33"/>
      <c r="E53" s="33"/>
      <c r="F53" s="20">
        <f>(1+$C$6)^-B53</f>
        <v>0.49362812101131748</v>
      </c>
    </row>
    <row r="54" spans="1:6" hidden="1" outlineLevel="1" x14ac:dyDescent="0.35">
      <c r="A54" s="12"/>
      <c r="B54">
        <v>19</v>
      </c>
      <c r="C54" s="33"/>
      <c r="D54" s="33"/>
      <c r="E54" s="33"/>
      <c r="F54" s="20">
        <f t="shared" si="0"/>
        <v>0.47464242404934376</v>
      </c>
    </row>
    <row r="55" spans="1:6" hidden="1" outlineLevel="1" x14ac:dyDescent="0.35">
      <c r="A55" s="12"/>
      <c r="B55">
        <v>20</v>
      </c>
      <c r="C55" s="33"/>
      <c r="D55" s="33"/>
      <c r="E55" s="33"/>
      <c r="F55" s="20">
        <f t="shared" si="0"/>
        <v>0.45638694620129205</v>
      </c>
    </row>
    <row r="56" spans="1:6" hidden="1" outlineLevel="1" x14ac:dyDescent="0.35">
      <c r="A56" s="12"/>
      <c r="B56">
        <v>21</v>
      </c>
      <c r="C56" s="33"/>
      <c r="D56" s="33"/>
      <c r="E56" s="33"/>
      <c r="F56" s="20">
        <f t="shared" si="0"/>
        <v>0.43883360211662686</v>
      </c>
    </row>
    <row r="57" spans="1:6" hidden="1" outlineLevel="1" x14ac:dyDescent="0.35">
      <c r="A57" s="12"/>
      <c r="B57">
        <v>22</v>
      </c>
      <c r="C57" s="33"/>
      <c r="D57" s="33"/>
      <c r="E57" s="33"/>
      <c r="F57" s="20">
        <f t="shared" si="0"/>
        <v>0.42195538665060278</v>
      </c>
    </row>
    <row r="58" spans="1:6" hidden="1" outlineLevel="1" x14ac:dyDescent="0.35">
      <c r="A58" s="12"/>
      <c r="B58">
        <v>23</v>
      </c>
      <c r="C58" s="33"/>
      <c r="D58" s="33"/>
      <c r="E58" s="33"/>
      <c r="F58" s="20">
        <f t="shared" si="0"/>
        <v>0.40572633331788732</v>
      </c>
    </row>
    <row r="59" spans="1:6" hidden="1" outlineLevel="1" x14ac:dyDescent="0.35">
      <c r="A59" s="12"/>
      <c r="B59">
        <v>24</v>
      </c>
      <c r="C59" s="33"/>
      <c r="D59" s="33"/>
      <c r="E59" s="33"/>
      <c r="F59" s="20">
        <f t="shared" si="0"/>
        <v>0.39012147434412242</v>
      </c>
    </row>
    <row r="60" spans="1:6" hidden="1" outlineLevel="1" x14ac:dyDescent="0.35">
      <c r="A60" s="12"/>
      <c r="B60">
        <v>25</v>
      </c>
      <c r="C60" s="33"/>
      <c r="D60" s="33"/>
      <c r="E60" s="33"/>
      <c r="F60" s="20">
        <f t="shared" si="0"/>
        <v>0.37511680225396377</v>
      </c>
    </row>
    <row r="61" spans="1:6" hidden="1" outlineLevel="1" x14ac:dyDescent="0.35">
      <c r="A61" s="12"/>
      <c r="B61">
        <v>26</v>
      </c>
      <c r="C61" s="33"/>
      <c r="D61" s="33"/>
      <c r="E61" s="33"/>
      <c r="F61" s="20">
        <f t="shared" si="0"/>
        <v>0.36068923293650368</v>
      </c>
    </row>
    <row r="62" spans="1:6" hidden="1" outlineLevel="1" x14ac:dyDescent="0.35">
      <c r="A62" s="12"/>
      <c r="B62">
        <v>27</v>
      </c>
      <c r="C62" s="33"/>
      <c r="D62" s="33"/>
      <c r="E62" s="33"/>
      <c r="F62" s="20">
        <f t="shared" si="0"/>
        <v>0.3468165701312535</v>
      </c>
    </row>
    <row r="63" spans="1:6" hidden="1" outlineLevel="1" x14ac:dyDescent="0.35">
      <c r="A63" s="12"/>
      <c r="B63">
        <v>28</v>
      </c>
      <c r="C63" s="33"/>
      <c r="D63" s="33"/>
      <c r="E63" s="33"/>
      <c r="F63" s="20">
        <f t="shared" si="0"/>
        <v>0.3334774712800514</v>
      </c>
    </row>
    <row r="64" spans="1:6" hidden="1" outlineLevel="1" x14ac:dyDescent="0.35">
      <c r="A64" s="12"/>
      <c r="B64">
        <v>29</v>
      </c>
      <c r="C64" s="33"/>
      <c r="D64" s="33"/>
      <c r="E64" s="33"/>
      <c r="F64" s="20">
        <f t="shared" si="0"/>
        <v>0.32065141469235708</v>
      </c>
    </row>
    <row r="65" spans="1:6" hidden="1" outlineLevel="1" x14ac:dyDescent="0.35">
      <c r="A65" s="12"/>
      <c r="B65">
        <v>30</v>
      </c>
      <c r="C65" s="33"/>
      <c r="D65" s="33"/>
      <c r="E65" s="33"/>
      <c r="F65" s="20">
        <f t="shared" si="0"/>
        <v>0.30831866797342034</v>
      </c>
    </row>
    <row r="66" spans="1:6" ht="44.25" customHeight="1" collapsed="1" x14ac:dyDescent="0.35">
      <c r="A66" s="12" t="s">
        <v>23</v>
      </c>
      <c r="C66" s="4"/>
      <c r="D66" s="4"/>
      <c r="E66" s="4"/>
    </row>
    <row r="67" spans="1:6" x14ac:dyDescent="0.35">
      <c r="A67" s="12"/>
      <c r="B67" t="s">
        <v>9</v>
      </c>
      <c r="C67" s="5"/>
      <c r="D67" s="5"/>
      <c r="E67" s="5"/>
      <c r="F67" s="15"/>
    </row>
    <row r="68" spans="1:6" hidden="1" outlineLevel="1" x14ac:dyDescent="0.35">
      <c r="A68" s="12"/>
      <c r="B68" s="6" t="s">
        <v>22</v>
      </c>
      <c r="C68" s="1"/>
      <c r="D68" s="1"/>
      <c r="E68" s="1"/>
      <c r="F68" s="20">
        <f>(1+$C$6)^-1</f>
        <v>0.96153846153846145</v>
      </c>
    </row>
    <row r="69" spans="1:6" hidden="1" outlineLevel="1" x14ac:dyDescent="0.35">
      <c r="A69" s="12"/>
      <c r="B69" s="6" t="s">
        <v>21</v>
      </c>
      <c r="C69" s="1"/>
      <c r="D69" s="1"/>
      <c r="E69" s="1"/>
      <c r="F69" s="20">
        <f>(1+$C$6)^-2</f>
        <v>0.92455621301775137</v>
      </c>
    </row>
    <row r="70" spans="1:6" hidden="1" outlineLevel="1" x14ac:dyDescent="0.35">
      <c r="A70" s="12"/>
      <c r="B70">
        <v>3</v>
      </c>
      <c r="C70" s="1"/>
      <c r="D70" s="1"/>
      <c r="E70" s="1"/>
      <c r="F70" s="20">
        <f>(1+$C$6)^-B70</f>
        <v>0.88899635867091487</v>
      </c>
    </row>
    <row r="71" spans="1:6" hidden="1" outlineLevel="1" x14ac:dyDescent="0.35">
      <c r="A71" s="12"/>
      <c r="B71">
        <v>4</v>
      </c>
      <c r="C71" s="1"/>
      <c r="D71" s="1"/>
      <c r="E71" s="1"/>
      <c r="F71" s="20">
        <f t="shared" ref="F71:F97" si="1">(1+$C$6)^-B71</f>
        <v>0.85480419102972571</v>
      </c>
    </row>
    <row r="72" spans="1:6" hidden="1" outlineLevel="1" x14ac:dyDescent="0.35">
      <c r="A72" s="12"/>
      <c r="B72">
        <v>5</v>
      </c>
      <c r="C72" s="1"/>
      <c r="D72" s="1"/>
      <c r="E72" s="1"/>
      <c r="F72" s="20">
        <f t="shared" si="1"/>
        <v>0.82192710675935154</v>
      </c>
    </row>
    <row r="73" spans="1:6" hidden="1" outlineLevel="1" x14ac:dyDescent="0.35">
      <c r="A73" s="12"/>
      <c r="B73">
        <v>6</v>
      </c>
      <c r="C73" s="1"/>
      <c r="D73" s="1"/>
      <c r="E73" s="1"/>
      <c r="F73" s="20">
        <f t="shared" si="1"/>
        <v>0.79031452573014571</v>
      </c>
    </row>
    <row r="74" spans="1:6" hidden="1" outlineLevel="1" x14ac:dyDescent="0.35">
      <c r="A74" s="12"/>
      <c r="B74">
        <v>7</v>
      </c>
      <c r="C74" s="1"/>
      <c r="D74" s="1"/>
      <c r="E74" s="1"/>
      <c r="F74" s="20">
        <f t="shared" si="1"/>
        <v>0.75991781320206331</v>
      </c>
    </row>
    <row r="75" spans="1:6" hidden="1" outlineLevel="1" x14ac:dyDescent="0.35">
      <c r="A75" s="12"/>
      <c r="B75">
        <v>8</v>
      </c>
      <c r="C75" s="1"/>
      <c r="D75" s="1"/>
      <c r="E75" s="1"/>
      <c r="F75" s="20">
        <f t="shared" si="1"/>
        <v>0.73069020500198378</v>
      </c>
    </row>
    <row r="76" spans="1:6" hidden="1" outlineLevel="1" x14ac:dyDescent="0.35">
      <c r="A76" s="12"/>
      <c r="B76">
        <v>9</v>
      </c>
      <c r="C76" s="1"/>
      <c r="D76" s="1"/>
      <c r="E76" s="1"/>
      <c r="F76" s="20">
        <f t="shared" si="1"/>
        <v>0.70258673557883045</v>
      </c>
    </row>
    <row r="77" spans="1:6" hidden="1" outlineLevel="1" x14ac:dyDescent="0.35">
      <c r="A77" s="12"/>
      <c r="B77">
        <v>10</v>
      </c>
      <c r="C77" s="1"/>
      <c r="D77" s="1"/>
      <c r="E77" s="1"/>
      <c r="F77" s="20">
        <f t="shared" si="1"/>
        <v>0.67556416882579851</v>
      </c>
    </row>
    <row r="78" spans="1:6" hidden="1" outlineLevel="1" x14ac:dyDescent="0.35">
      <c r="A78" s="12"/>
      <c r="B78">
        <v>11</v>
      </c>
      <c r="C78" s="1"/>
      <c r="D78" s="1"/>
      <c r="E78" s="1"/>
      <c r="F78" s="20">
        <f t="shared" si="1"/>
        <v>0.6495809315632679</v>
      </c>
    </row>
    <row r="79" spans="1:6" hidden="1" outlineLevel="1" x14ac:dyDescent="0.35">
      <c r="A79" s="12"/>
      <c r="B79">
        <v>12</v>
      </c>
      <c r="C79" s="1"/>
      <c r="D79" s="1"/>
      <c r="E79" s="1"/>
      <c r="F79" s="20">
        <f t="shared" si="1"/>
        <v>0.62459704958006512</v>
      </c>
    </row>
    <row r="80" spans="1:6" hidden="1" outlineLevel="1" x14ac:dyDescent="0.35">
      <c r="A80" s="12"/>
      <c r="B80">
        <v>13</v>
      </c>
      <c r="C80" s="1"/>
      <c r="D80" s="1"/>
      <c r="E80" s="1"/>
      <c r="F80" s="20">
        <f t="shared" si="1"/>
        <v>0.600574086134678</v>
      </c>
    </row>
    <row r="81" spans="1:6" hidden="1" outlineLevel="1" x14ac:dyDescent="0.35">
      <c r="A81" s="12"/>
      <c r="B81">
        <v>14</v>
      </c>
      <c r="C81" s="1"/>
      <c r="D81" s="1"/>
      <c r="E81" s="1"/>
      <c r="F81" s="20">
        <f t="shared" si="1"/>
        <v>0.57747508282180582</v>
      </c>
    </row>
    <row r="82" spans="1:6" hidden="1" outlineLevel="1" x14ac:dyDescent="0.35">
      <c r="A82" s="12"/>
      <c r="B82">
        <v>15</v>
      </c>
      <c r="C82" s="1"/>
      <c r="D82" s="1"/>
      <c r="E82" s="1"/>
      <c r="F82" s="20">
        <f t="shared" si="1"/>
        <v>0.55526450271327477</v>
      </c>
    </row>
    <row r="83" spans="1:6" hidden="1" outlineLevel="1" x14ac:dyDescent="0.35">
      <c r="A83" s="12"/>
      <c r="B83">
        <v>16</v>
      </c>
      <c r="C83" s="1"/>
      <c r="D83" s="1"/>
      <c r="E83" s="1"/>
      <c r="F83" s="20">
        <f t="shared" si="1"/>
        <v>0.53390817568584104</v>
      </c>
    </row>
    <row r="84" spans="1:6" hidden="1" outlineLevel="1" x14ac:dyDescent="0.35">
      <c r="A84" s="12"/>
      <c r="B84">
        <v>17</v>
      </c>
      <c r="C84" s="1"/>
      <c r="D84" s="1"/>
      <c r="E84" s="1"/>
      <c r="F84" s="20">
        <f t="shared" si="1"/>
        <v>0.51337324585177024</v>
      </c>
    </row>
    <row r="85" spans="1:6" hidden="1" outlineLevel="1" x14ac:dyDescent="0.35">
      <c r="A85" s="12"/>
      <c r="B85">
        <v>18</v>
      </c>
      <c r="C85" s="1"/>
      <c r="D85" s="1"/>
      <c r="E85" s="1"/>
      <c r="F85" s="20">
        <f t="shared" si="1"/>
        <v>0.49362812101131748</v>
      </c>
    </row>
    <row r="86" spans="1:6" hidden="1" outlineLevel="1" x14ac:dyDescent="0.35">
      <c r="A86" s="12"/>
      <c r="B86">
        <v>19</v>
      </c>
      <c r="C86" s="1"/>
      <c r="D86" s="1"/>
      <c r="E86" s="1"/>
      <c r="F86" s="20">
        <f t="shared" si="1"/>
        <v>0.47464242404934376</v>
      </c>
    </row>
    <row r="87" spans="1:6" hidden="1" outlineLevel="1" x14ac:dyDescent="0.35">
      <c r="A87" s="12"/>
      <c r="B87">
        <v>20</v>
      </c>
      <c r="C87" s="1"/>
      <c r="D87" s="1"/>
      <c r="E87" s="1"/>
      <c r="F87" s="20">
        <f t="shared" si="1"/>
        <v>0.45638694620129205</v>
      </c>
    </row>
    <row r="88" spans="1:6" hidden="1" outlineLevel="1" x14ac:dyDescent="0.35">
      <c r="A88" s="12"/>
      <c r="B88">
        <v>21</v>
      </c>
      <c r="C88" s="1"/>
      <c r="D88" s="1"/>
      <c r="E88" s="1"/>
      <c r="F88" s="20">
        <f t="shared" si="1"/>
        <v>0.43883360211662686</v>
      </c>
    </row>
    <row r="89" spans="1:6" hidden="1" outlineLevel="1" x14ac:dyDescent="0.35">
      <c r="A89" s="12"/>
      <c r="B89">
        <v>22</v>
      </c>
      <c r="C89" s="1"/>
      <c r="D89" s="1"/>
      <c r="E89" s="1"/>
      <c r="F89" s="20">
        <f t="shared" si="1"/>
        <v>0.42195538665060278</v>
      </c>
    </row>
    <row r="90" spans="1:6" hidden="1" outlineLevel="1" x14ac:dyDescent="0.35">
      <c r="A90" s="12"/>
      <c r="B90">
        <v>23</v>
      </c>
      <c r="C90" s="1"/>
      <c r="D90" s="1"/>
      <c r="E90" s="1"/>
      <c r="F90" s="20">
        <f t="shared" si="1"/>
        <v>0.40572633331788732</v>
      </c>
    </row>
    <row r="91" spans="1:6" hidden="1" outlineLevel="1" x14ac:dyDescent="0.35">
      <c r="A91" s="12"/>
      <c r="B91">
        <v>24</v>
      </c>
      <c r="C91" s="1"/>
      <c r="D91" s="1"/>
      <c r="E91" s="1"/>
      <c r="F91" s="20">
        <f t="shared" si="1"/>
        <v>0.39012147434412242</v>
      </c>
    </row>
    <row r="92" spans="1:6" hidden="1" outlineLevel="1" x14ac:dyDescent="0.35">
      <c r="A92" s="12"/>
      <c r="B92">
        <v>25</v>
      </c>
      <c r="C92" s="1"/>
      <c r="D92" s="1"/>
      <c r="E92" s="1"/>
      <c r="F92" s="20">
        <f t="shared" si="1"/>
        <v>0.37511680225396377</v>
      </c>
    </row>
    <row r="93" spans="1:6" hidden="1" outlineLevel="1" x14ac:dyDescent="0.35">
      <c r="A93" s="12"/>
      <c r="B93">
        <v>26</v>
      </c>
      <c r="C93" s="1"/>
      <c r="D93" s="1"/>
      <c r="E93" s="1"/>
      <c r="F93" s="20">
        <f t="shared" si="1"/>
        <v>0.36068923293650368</v>
      </c>
    </row>
    <row r="94" spans="1:6" hidden="1" outlineLevel="1" x14ac:dyDescent="0.35">
      <c r="A94" s="12"/>
      <c r="B94">
        <v>27</v>
      </c>
      <c r="C94" s="1"/>
      <c r="D94" s="1"/>
      <c r="E94" s="1"/>
      <c r="F94" s="20">
        <f t="shared" si="1"/>
        <v>0.3468165701312535</v>
      </c>
    </row>
    <row r="95" spans="1:6" hidden="1" outlineLevel="1" x14ac:dyDescent="0.35">
      <c r="A95" s="12"/>
      <c r="B95">
        <v>28</v>
      </c>
      <c r="C95" s="1"/>
      <c r="D95" s="1"/>
      <c r="E95" s="1"/>
      <c r="F95" s="20">
        <f t="shared" si="1"/>
        <v>0.3334774712800514</v>
      </c>
    </row>
    <row r="96" spans="1:6" hidden="1" outlineLevel="1" x14ac:dyDescent="0.35">
      <c r="A96" s="12"/>
      <c r="B96">
        <v>29</v>
      </c>
      <c r="C96" s="1"/>
      <c r="D96" s="1"/>
      <c r="E96" s="1"/>
      <c r="F96" s="20">
        <f t="shared" si="1"/>
        <v>0.32065141469235708</v>
      </c>
    </row>
    <row r="97" spans="1:6" hidden="1" outlineLevel="1" x14ac:dyDescent="0.35">
      <c r="A97" s="12"/>
      <c r="B97">
        <v>30</v>
      </c>
      <c r="C97" s="1"/>
      <c r="D97" s="1"/>
      <c r="E97" s="1"/>
      <c r="F97" s="20">
        <f t="shared" si="1"/>
        <v>0.30831866797342034</v>
      </c>
    </row>
    <row r="98" spans="1:6" ht="43.5" collapsed="1" x14ac:dyDescent="0.35">
      <c r="A98" s="12" t="s">
        <v>23</v>
      </c>
    </row>
    <row r="99" spans="1:6" x14ac:dyDescent="0.35">
      <c r="A99" s="12"/>
      <c r="B99" t="s">
        <v>2</v>
      </c>
      <c r="C99" s="5"/>
      <c r="D99" s="5"/>
      <c r="E99" s="5"/>
    </row>
    <row r="100" spans="1:6" x14ac:dyDescent="0.35">
      <c r="A100" s="12"/>
    </row>
    <row r="101" spans="1:6" ht="17.5" thickBot="1" x14ac:dyDescent="0.45">
      <c r="A101" s="12"/>
      <c r="B101" s="9" t="s">
        <v>31</v>
      </c>
      <c r="C101" s="9"/>
      <c r="D101" s="9"/>
      <c r="E101" s="9"/>
    </row>
    <row r="102" spans="1:6" ht="15" thickTop="1" x14ac:dyDescent="0.35">
      <c r="A102" s="12"/>
      <c r="C102" s="4" t="s">
        <v>13</v>
      </c>
      <c r="D102" s="4" t="s">
        <v>14</v>
      </c>
      <c r="E102" s="4" t="s">
        <v>15</v>
      </c>
    </row>
    <row r="103" spans="1:6" x14ac:dyDescent="0.35">
      <c r="A103" s="12"/>
      <c r="B103" t="s">
        <v>53</v>
      </c>
      <c r="C103" s="35">
        <f>C29-C99*(1+$C$6)^-$C$5</f>
        <v>0</v>
      </c>
      <c r="D103" s="35">
        <f>D29-D99*(1+$C$6)^-$C$5</f>
        <v>5500</v>
      </c>
      <c r="E103" s="35">
        <f>E29-E99*(1+$C$6)^-$C$5</f>
        <v>0</v>
      </c>
      <c r="F103" s="20" t="s">
        <v>42</v>
      </c>
    </row>
    <row r="104" spans="1:6" x14ac:dyDescent="0.35">
      <c r="A104" s="11"/>
      <c r="B104" t="s">
        <v>28</v>
      </c>
      <c r="C104" s="35">
        <f>C35*$C$21+SUMPRODUCT(C36:C65,$F$36:$F$65)</f>
        <v>2718.0652689935396</v>
      </c>
      <c r="D104" s="35">
        <f>D35*$C$21+SUMPRODUCT(D36:D65,$F$36:$F$65)</f>
        <v>2718.0652689935396</v>
      </c>
      <c r="E104" s="35">
        <f>E35*$C$21+SUMPRODUCT(E36:E65,$F$36:$F$65)</f>
        <v>0</v>
      </c>
      <c r="F104" s="20" t="s">
        <v>38</v>
      </c>
    </row>
    <row r="105" spans="1:6" x14ac:dyDescent="0.35">
      <c r="A105" s="11"/>
      <c r="B105" t="s">
        <v>29</v>
      </c>
      <c r="C105" s="35">
        <f>C67*$C$21+SUMPRODUCT(C68:C97,$F$68:$F$97)</f>
        <v>0</v>
      </c>
      <c r="D105" s="35">
        <f>D67*$C$21+SUMPRODUCT(D68:D97,$F$68:$F$97)</f>
        <v>0</v>
      </c>
      <c r="E105" s="35">
        <f>E67*$C$21+SUMPRODUCT(E68:E97,$F$68:$F$97)</f>
        <v>0</v>
      </c>
      <c r="F105" s="20" t="s">
        <v>43</v>
      </c>
    </row>
    <row r="106" spans="1:6" x14ac:dyDescent="0.35">
      <c r="A106" s="11"/>
      <c r="B106" t="s">
        <v>30</v>
      </c>
      <c r="C106" s="35">
        <f>C31*$C$9*$C$22+C32*$C$13*$C$23+C33*$C$17*$C$24</f>
        <v>25834.104615683522</v>
      </c>
      <c r="D106" s="35">
        <f>D31*$C$9*$C$22+D32*$C$13*$C$23+D33*$C$17*$C$24</f>
        <v>5166.8209231367027</v>
      </c>
      <c r="E106" s="35">
        <f>E31*$C$9*$C$22+E32*$C$13*$C$23+E33*$C$17*$C$24</f>
        <v>0</v>
      </c>
      <c r="F106" s="20" t="s">
        <v>44</v>
      </c>
    </row>
    <row r="107" spans="1:6" x14ac:dyDescent="0.35">
      <c r="A107" s="11"/>
      <c r="B107" s="22" t="s">
        <v>27</v>
      </c>
      <c r="C107" s="36">
        <f>SUM(C103:C106)</f>
        <v>28552.16988467706</v>
      </c>
      <c r="D107" s="36">
        <f>IF(SUM(D103:D106)=0,"-",SUM(D103:D106))</f>
        <v>13384.886192130241</v>
      </c>
      <c r="E107" s="36" t="str">
        <f>IF(SUM(E103:E106)=0,"-",SUM(E103:E106))</f>
        <v>-</v>
      </c>
    </row>
    <row r="108" spans="1:6" x14ac:dyDescent="0.35">
      <c r="A108" s="11"/>
      <c r="C108" s="14"/>
      <c r="D108" s="14"/>
      <c r="E108" s="14"/>
    </row>
    <row r="109" spans="1:6" x14ac:dyDescent="0.35">
      <c r="A109" s="11"/>
      <c r="C109" s="14"/>
      <c r="D109" s="14"/>
      <c r="E109" s="14"/>
    </row>
    <row r="110" spans="1:6" ht="17.5" thickBot="1" x14ac:dyDescent="0.45">
      <c r="A110" s="11"/>
      <c r="B110" s="9" t="s">
        <v>58</v>
      </c>
      <c r="C110" s="9"/>
      <c r="D110" s="37"/>
      <c r="E110" s="37"/>
    </row>
    <row r="111" spans="1:6" ht="15" thickTop="1" x14ac:dyDescent="0.35">
      <c r="A111" s="11"/>
      <c r="B111" t="s">
        <v>33</v>
      </c>
      <c r="D111" s="38">
        <f>IF(AND(D29&gt;$C$29,(D31-$C$31)*$C$9+(D32-$C$32)*$C$13+(D33-$C$33)*$C$17+(D35-$C$35)+(D67-$C$67)&gt;0),"återbetalas ej",IF(OR(D107="-",D29&lt;$C$29),"-",(D29-$C$29)/(($C$31-D31)*$C$9+($C$32-D32)*$C$13+($C$33-D33)*$C$17+($C$35-D35)+($C$67-D67))))</f>
        <v>6.5401445966514453</v>
      </c>
      <c r="E111" s="38" t="str">
        <f>IF(AND(E29&gt;$C$29,(E31-$C$31)*$C$9+(E32-$C$32)*$C$13+(E33-$C$33)*$C$17+(E35-$C$35)+(E67-$C$67)&gt;0),"återbetalas ej",IF(OR(E107="-",E29&lt;$C$29),"-",(E29-$C$29)/(($C$31-E31)*$C$9+($C$32-E32)*$C$13+($C$33-E33)*$C$17+($C$35-E35)+($C$67-E67))))</f>
        <v>-</v>
      </c>
    </row>
    <row r="112" spans="1:6" x14ac:dyDescent="0.35">
      <c r="A112" s="11"/>
      <c r="B112" t="s">
        <v>73</v>
      </c>
      <c r="D112" s="39">
        <f>IF(D107="-","-",C107-D107)</f>
        <v>15167.283692546818</v>
      </c>
      <c r="E112" s="39" t="str">
        <f>IF(E107="-","-",C107-E107)</f>
        <v>-</v>
      </c>
    </row>
    <row r="113" spans="1:7" ht="27" customHeight="1" x14ac:dyDescent="0.35">
      <c r="A113" s="11"/>
      <c r="B113" s="47" t="str">
        <f>IF(OR(AND(ISNUMBER(D107),D29&lt;C29),AND(ISNUMBER(E107),E29&lt;C29)),"!!! För att uträkningen av återbetalningstid ska ge ett meningsfullt resultat behöver Alt A vara det alternativ som har lägst investeringskostnad !!!","")</f>
        <v/>
      </c>
      <c r="C113" s="47"/>
      <c r="D113" s="47"/>
      <c r="E113" s="47"/>
    </row>
    <row r="114" spans="1:7" x14ac:dyDescent="0.35">
      <c r="A114" s="11"/>
    </row>
    <row r="115" spans="1:7" ht="20" thickBot="1" x14ac:dyDescent="0.5">
      <c r="B115" s="10" t="s">
        <v>32</v>
      </c>
      <c r="C115" s="10"/>
      <c r="D115" s="10"/>
      <c r="E115" s="10"/>
    </row>
    <row r="116" spans="1:7" ht="15" thickTop="1" x14ac:dyDescent="0.35">
      <c r="B116" s="6" t="s">
        <v>59</v>
      </c>
      <c r="C116" s="16" t="str">
        <f>IF(SMALL(C107:E107,1)=C107,C27,IF(D107&lt;E107,D27,E27))</f>
        <v>Alt B</v>
      </c>
      <c r="D116" t="s">
        <v>60</v>
      </c>
    </row>
    <row r="117" spans="1:7" x14ac:dyDescent="0.35">
      <c r="B117" s="6"/>
    </row>
    <row r="119" spans="1:7" ht="17.5" thickBot="1" x14ac:dyDescent="0.45">
      <c r="B119" s="9" t="s">
        <v>45</v>
      </c>
      <c r="C119" s="9"/>
      <c r="D119" s="9"/>
      <c r="E119" s="9"/>
      <c r="F119" s="9"/>
      <c r="G119" s="9"/>
    </row>
    <row r="120" spans="1:7" ht="15" thickTop="1" x14ac:dyDescent="0.35"/>
    <row r="135" spans="2:7" ht="17.5" thickBot="1" x14ac:dyDescent="0.45">
      <c r="B135" s="9" t="s">
        <v>46</v>
      </c>
      <c r="C135" s="9"/>
      <c r="D135" s="9"/>
      <c r="E135" s="9"/>
      <c r="F135" s="9"/>
      <c r="G135" s="9"/>
    </row>
    <row r="136" spans="2:7" ht="15" thickTop="1" x14ac:dyDescent="0.35"/>
    <row r="150" spans="2:7" ht="17.5" thickBot="1" x14ac:dyDescent="0.45">
      <c r="B150" s="9" t="s">
        <v>51</v>
      </c>
      <c r="C150" s="9"/>
      <c r="D150" s="9"/>
      <c r="E150" s="9"/>
      <c r="F150" s="9"/>
      <c r="G150" s="9"/>
    </row>
    <row r="151" spans="2:7" ht="15" thickTop="1" x14ac:dyDescent="0.35">
      <c r="E151" s="24"/>
      <c r="F151" s="24"/>
      <c r="G151" s="24"/>
    </row>
    <row r="152" spans="2:7" x14ac:dyDescent="0.35">
      <c r="E152" s="20"/>
      <c r="F152" s="20" t="s">
        <v>13</v>
      </c>
      <c r="G152" s="20" t="s">
        <v>14</v>
      </c>
    </row>
    <row r="153" spans="2:7" x14ac:dyDescent="0.35">
      <c r="E153" s="20">
        <v>1E-3</v>
      </c>
      <c r="F153" s="23">
        <f>C$29-C$99*(1+$E153)^-$C$5+C$35*$J177+SUMPRODUCT(C$36:C$65,$O$177:$O$206)+C$67*$J177+SUMPRODUCT(C$68:C$97,$O$177:$O$206)+C$31*$C$9*$K177+C$32*$C$13*$L177+C$33*$C$17*$M177</f>
        <v>44443.421836381029</v>
      </c>
      <c r="G153" s="23">
        <f>D$29-D$99*(1+$E153)^-$C$5+D$35*$J177+SUMPRODUCT(D$36:D$65,$O$177:$O$206)+D$67*$J177+SUMPRODUCT(D$68:D$97,$O$177:$O$206)+D$31*$C$9*$K177+D$32*$C$13*$L177+D$33*$C$17*$M177</f>
        <v>17555.329357248189</v>
      </c>
    </row>
    <row r="154" spans="2:7" x14ac:dyDescent="0.35">
      <c r="E154" s="20">
        <v>0.02</v>
      </c>
      <c r="F154" s="23">
        <f>C$29-C$99*(1+$E154)^-$C$5+C$35*$J178+SUMPRODUCT(C$36:C$65,$P$177:$P$206)+C$67*$J178+SUMPRODUCT(C$68:C$97,$P$177:$P$206)+C$31*$C$9*$K178+C$32*$C$13*$L178+C$33*$C$17*$M178</f>
        <v>35537.103200793186</v>
      </c>
      <c r="G154" s="23">
        <f>D$29-D$99*(1+$E154)^-$C$5+D$35*$J178+SUMPRODUCT(D$36:D$65,$P$177:$P$206)+D$67*$J178+SUMPRODUCT(D$68:D$97,$P$177:$P$206)+D$31*$C$9*$K178+D$32*$C$13*$L178+D$33*$C$17*$M178</f>
        <v>15223.649975294175</v>
      </c>
    </row>
    <row r="155" spans="2:7" x14ac:dyDescent="0.35">
      <c r="E155" s="20">
        <v>0.04</v>
      </c>
      <c r="F155" s="23">
        <f>C$29-C$99*(1+$E155)^-$C$5+C$35*$J179+SUMPRODUCT(C$36:C$65,$Q$177:$Q$206)+C$67*$J179+SUMPRODUCT(C$68:C$97,$Q$177:$Q$206)+C$31*$C$9*$K179+C$32*$C$13*$L179+C$33*$C$17*$M179</f>
        <v>28552.16988467706</v>
      </c>
      <c r="G155" s="23">
        <f>D$29-D$99*(1+$E155)^-$C$5+D$35*$J179+SUMPRODUCT(D$36:D$65,$Q$177:$Q$206)+D$67*$J179+SUMPRODUCT(D$68:D$97,$Q$177:$Q$206)+D$31*$C$9*$K179+D$32*$C$13*$L179+D$33*$C$17*$M179</f>
        <v>13384.886192130241</v>
      </c>
    </row>
    <row r="156" spans="2:7" x14ac:dyDescent="0.35">
      <c r="E156" s="20">
        <v>0.06</v>
      </c>
      <c r="F156" s="23">
        <f>C$29-C$99*(1+$E156)^-$C$5+C$35*$J180+SUMPRODUCT(C$36:C$65,$R$177:$R$206)+C$67*$J180+SUMPRODUCT(C$68:C$97,$R$177:$R$206)+C$31*$C$9*$K180+C$32*$C$13*$L180+C$33*$C$17*$M180</f>
        <v>23317.984243713054</v>
      </c>
      <c r="G156" s="23">
        <f>D$29-D$99*(1+$E156)^-$C$5+D$35*$J180+SUMPRODUCT(D$36:D$65,$R$177:$R$206)+D$67*$J180+SUMPRODUCT(D$68:D$97,$R$177:$R$206)+D$31*$C$9*$K180+D$32*$C$13*$L180+D$33*$C$17*$M180</f>
        <v>11998.784243713053</v>
      </c>
    </row>
    <row r="157" spans="2:7" x14ac:dyDescent="0.35">
      <c r="E157" s="20">
        <v>0.08</v>
      </c>
      <c r="F157" s="23">
        <f>C$29-C$99*(1+$E157)^-$C$5+C$35*$J181+SUMPRODUCT(C$36:C$65,$S$177:$S$206)+C$67*$J181+SUMPRODUCT(C$68:C$97,$S$177:$S$206)+C$31*$C$9*$K181+C$32*$C$13*$L181+C$33*$C$17*$M181</f>
        <v>19341.527751112662</v>
      </c>
      <c r="G157" s="23">
        <f>D$29-D$99*(1+$E157)^-$C$5+D$35*$J181+SUMPRODUCT(D$36:D$65,$S$177:$S$206)+D$67*$J181+SUMPRODUCT(D$68:D$97,$S$177:$S$206)+D$31*$C$9*$K181+D$32*$C$13*$L181+D$33*$C$17*$M181</f>
        <v>10939.20913541442</v>
      </c>
    </row>
    <row r="158" spans="2:7" x14ac:dyDescent="0.35">
      <c r="E158" s="20">
        <v>0.1</v>
      </c>
      <c r="F158" s="23">
        <f>C$29-C$99*(1+$E158)^-$C$5+C$35*$J182+SUMPRODUCT(C$36:C$65,$T$177:$T$206)+C$67*$J182+SUMPRODUCT(C$68:C$97,$T$177:$T$206)+C$31*$C$9*$K182+C$32*$C$13*$L182+C$33*$C$17*$M182</f>
        <v>16279.612023730271</v>
      </c>
      <c r="G158" s="23">
        <f>D$29-D$99*(1+$E158)^-$C$5+D$35*$J182+SUMPRODUCT(D$36:D$65,$T$177:$T$206)+D$67*$J182+SUMPRODUCT(D$68:D$97,$T$177:$T$206)+D$31*$C$9*$K182+D$32*$C$13*$L182+D$33*$C$17*$M182</f>
        <v>10118.092599907424</v>
      </c>
    </row>
    <row r="159" spans="2:7" x14ac:dyDescent="0.35">
      <c r="E159" s="20">
        <v>0.12</v>
      </c>
      <c r="F159" s="23">
        <f>C$29-C$99*(1+$E159)^-$C$5+C$35*$J183+SUMPRODUCT(C$36:C$65,$U$177:$U$206)+C$67*$J183+SUMPRODUCT(C$68:C$97,$U$177:$U$206)+C$31*$C$9*$K183+C$32*$C$13*$L183+C$33*$C$17*$M183</f>
        <v>13890.659469436554</v>
      </c>
      <c r="G159" s="23">
        <f>D$29-D$99*(1+$E159)^-$C$5+D$35*$J183+SUMPRODUCT(D$36:D$65,$U$177:$U$206)+D$67*$J183+SUMPRODUCT(D$68:D$97,$U$177:$U$206)+D$31*$C$9*$K183+D$32*$C$13*$L183+D$33*$C$17*$M183</f>
        <v>9473.2428737797254</v>
      </c>
    </row>
    <row r="160" spans="2:7" x14ac:dyDescent="0.35">
      <c r="E160" s="20">
        <v>0.14000000000000001</v>
      </c>
      <c r="F160" s="23">
        <f>C$29-C$99*(1+$E160)^-$C$5+C$35*$J184+SUMPRODUCT(C$36:C$65,$V$177:$V$206)+C$67*$J184+SUMPRODUCT(C$68:C$97,$V$177:$V$206)+C$31*$C$9*$K184+C$32*$C$13*$L184+C$33*$C$17*$M184</f>
        <v>12002.740620416538</v>
      </c>
      <c r="G160" s="23">
        <f>D$29-D$99*(1+$E160)^-$C$5+D$35*$J184+SUMPRODUCT(D$36:D$65,$V$177:$V$206)+D$67*$J184+SUMPRODUCT(D$68:D$97,$V$177:$V$206)+D$31*$C$9*$K184+D$32*$C$13*$L184+D$33*$C$17*$M184</f>
        <v>8960.2490123418575</v>
      </c>
    </row>
    <row r="161" spans="2:22" x14ac:dyDescent="0.35">
      <c r="E161" s="20"/>
      <c r="F161" s="20"/>
      <c r="G161" s="20"/>
    </row>
    <row r="162" spans="2:22" x14ac:dyDescent="0.35">
      <c r="E162" s="20"/>
      <c r="F162" s="20"/>
      <c r="G162" s="20"/>
    </row>
    <row r="163" spans="2:22" x14ac:dyDescent="0.35">
      <c r="E163" s="20"/>
      <c r="F163" s="20"/>
      <c r="G163" s="20"/>
    </row>
    <row r="164" spans="2:22" x14ac:dyDescent="0.35">
      <c r="E164" s="20"/>
      <c r="F164" s="20"/>
      <c r="G164" s="20"/>
    </row>
    <row r="165" spans="2:22" x14ac:dyDescent="0.35">
      <c r="E165" s="20"/>
      <c r="F165" s="20"/>
      <c r="G165" s="20"/>
    </row>
    <row r="166" spans="2:22" x14ac:dyDescent="0.35">
      <c r="E166" s="20"/>
      <c r="F166" s="20"/>
      <c r="G166" s="20"/>
    </row>
    <row r="167" spans="2:22" x14ac:dyDescent="0.35">
      <c r="B167" t="s">
        <v>52</v>
      </c>
      <c r="E167" s="20"/>
      <c r="F167" s="20"/>
      <c r="G167" s="20"/>
    </row>
    <row r="168" spans="2:22" x14ac:dyDescent="0.35">
      <c r="E168" s="20"/>
      <c r="F168" s="23"/>
      <c r="G168" s="23"/>
    </row>
    <row r="169" spans="2:22" x14ac:dyDescent="0.35">
      <c r="E169" s="20"/>
      <c r="F169" s="23"/>
      <c r="G169" s="23"/>
    </row>
    <row r="170" spans="2:22" x14ac:dyDescent="0.35">
      <c r="E170" s="20"/>
      <c r="F170" s="23"/>
      <c r="G170" s="23"/>
    </row>
    <row r="171" spans="2:22" x14ac:dyDescent="0.35">
      <c r="E171" s="20"/>
      <c r="F171" s="23"/>
      <c r="G171" s="23"/>
    </row>
    <row r="172" spans="2:22" x14ac:dyDescent="0.35">
      <c r="E172" s="20"/>
      <c r="F172" s="23"/>
      <c r="G172" s="23"/>
    </row>
    <row r="173" spans="2:22" x14ac:dyDescent="0.35">
      <c r="E173" s="20"/>
      <c r="F173" s="20"/>
      <c r="G173" s="20"/>
    </row>
    <row r="174" spans="2:22" x14ac:dyDescent="0.35">
      <c r="E174" s="20"/>
      <c r="F174" s="20"/>
      <c r="G174" s="20"/>
      <c r="H174" s="24"/>
      <c r="I174" s="24"/>
    </row>
    <row r="175" spans="2:22" x14ac:dyDescent="0.35">
      <c r="E175" s="20"/>
      <c r="F175" s="20"/>
      <c r="G175" s="20"/>
      <c r="H175" s="20" t="s">
        <v>15</v>
      </c>
      <c r="I175" s="20"/>
    </row>
    <row r="176" spans="2:22" x14ac:dyDescent="0.35">
      <c r="E176" s="20"/>
      <c r="F176" s="20"/>
      <c r="G176" s="20"/>
      <c r="H176" s="23">
        <f>E$29-E$99*(1+$E153)^-$C$5+E$35*$J177+SUMPRODUCT(E$36:E$65,$O$177:$O$206)+E$67*$J177+SUMPRODUCT(E$68:E$97,$O$177:$O$206)+E$31*$C$9*$K177+E$32*$C$13*$L177+E$33*$C$17*$M177</f>
        <v>0</v>
      </c>
      <c r="I176" s="20"/>
      <c r="J176" s="20"/>
      <c r="K176" s="20"/>
      <c r="L176" s="20"/>
      <c r="M176" s="20"/>
      <c r="N176" s="20"/>
      <c r="O176" s="20"/>
      <c r="P176" s="20"/>
      <c r="Q176" s="20"/>
      <c r="R176" s="20"/>
      <c r="S176" s="20"/>
      <c r="T176" s="20"/>
      <c r="U176" s="20"/>
      <c r="V176" s="20"/>
    </row>
    <row r="177" spans="5:22" x14ac:dyDescent="0.35">
      <c r="E177" s="20"/>
      <c r="F177" s="20"/>
      <c r="G177" s="20"/>
      <c r="H177" s="23">
        <f>E$29-E$99*(1+$E154)^-$C$5+E$35*$J178+SUMPRODUCT(E$36:E$65,$P$177:$P$206)+E$67*$J178+SUMPRODUCT(E$68:E$97,$P$177:$P$206)+E$31*$C$9*$K178+E$32*$C$13*$L178+E$33*$C$17*$M178</f>
        <v>0</v>
      </c>
      <c r="I177" s="20"/>
      <c r="J177" s="20">
        <f t="shared" ref="J177:J184" si="2">(1-(1+$E153)^-$C$5)/$E153</f>
        <v>19.791531187324907</v>
      </c>
      <c r="K177" s="20">
        <f t="shared" ref="K177:K184" si="3">IF($E153=$C$10,$C$5,((1-((1+$C$10)/(1+$E153))^$C$5)/((1+$E153)/(1+$C$10)-1)))</f>
        <v>38.513237822408719</v>
      </c>
      <c r="L177" s="20">
        <f t="shared" ref="L177:L184" si="4">IF($E153=$C$14,$C$5,((1-((1+$C$14)/(1+$E153))^$C$5)/((1+$E153)/(1+$C$14)-1)))</f>
        <v>19.791531187326864</v>
      </c>
      <c r="M177" s="20">
        <f t="shared" ref="M177:M184" si="5">IF($E153=$C$18,$C$5,((1-((1+$C$18)/(1+$E153))^$C$5)/((1+$E153)/(1+$C$18)-1)))</f>
        <v>19.791531187326864</v>
      </c>
      <c r="N177" s="20"/>
      <c r="O177" s="20">
        <f>(1+$E$153)^-1</f>
        <v>0.99900099900099915</v>
      </c>
      <c r="P177" s="20">
        <f>(1+$E$154)^-1</f>
        <v>0.98039215686274506</v>
      </c>
      <c r="Q177" s="20">
        <f>(1+$E$155)^-1</f>
        <v>0.96153846153846145</v>
      </c>
      <c r="R177" s="20">
        <f>(1+$E$156)^-1</f>
        <v>0.94339622641509424</v>
      </c>
      <c r="S177" s="20">
        <f>(1+$E$157)^-1</f>
        <v>0.92592592592592582</v>
      </c>
      <c r="T177" s="20">
        <f>(1+$E$158)^-1</f>
        <v>0.90909090909090906</v>
      </c>
      <c r="U177" s="20">
        <f>(1+$E$159)^-1</f>
        <v>0.89285714285714279</v>
      </c>
      <c r="V177" s="20">
        <f>(1+$E$160)^-1</f>
        <v>0.8771929824561403</v>
      </c>
    </row>
    <row r="178" spans="5:22" x14ac:dyDescent="0.35">
      <c r="E178" s="20"/>
      <c r="F178" s="20"/>
      <c r="G178" s="20"/>
      <c r="H178" s="23">
        <f>E$29-E$99*(1+$E155)^-$C$5+E$35*$J179+SUMPRODUCT(E$36:E$65,$Q$177:$Q$206)+E$67*$J179+SUMPRODUCT(E$68:E$97,$Q$177:$Q$206)+E$31*$C$9*$K179+E$32*$C$13*$L179+E$33*$C$17*$M179</f>
        <v>0</v>
      </c>
      <c r="I178" s="20"/>
      <c r="J178" s="20">
        <f t="shared" si="2"/>
        <v>16.351433344597112</v>
      </c>
      <c r="K178" s="20">
        <f t="shared" si="3"/>
        <v>30.695221206120397</v>
      </c>
      <c r="L178" s="20">
        <f t="shared" si="4"/>
        <v>16.35143334459713</v>
      </c>
      <c r="M178" s="20">
        <f t="shared" si="5"/>
        <v>16.35143334459713</v>
      </c>
      <c r="N178" s="20"/>
      <c r="O178" s="20">
        <f>(1+$E$153)^-2</f>
        <v>0.99800299600499431</v>
      </c>
      <c r="P178" s="20">
        <f>(1+$E$154)^-2</f>
        <v>0.96116878123798544</v>
      </c>
      <c r="Q178" s="20">
        <f>(1+$E$155)^-2</f>
        <v>0.92455621301775137</v>
      </c>
      <c r="R178" s="20">
        <f>(1+$E$156)^-2</f>
        <v>0.88999644001423983</v>
      </c>
      <c r="S178" s="20">
        <f>(1+$E$157)^-2</f>
        <v>0.85733882030178321</v>
      </c>
      <c r="T178" s="20">
        <f>(1+$E$158)^-2</f>
        <v>0.82644628099173545</v>
      </c>
      <c r="U178" s="20">
        <f>(1+$E$159)^-2</f>
        <v>0.79719387755102034</v>
      </c>
      <c r="V178" s="20">
        <f>(1+$E$160)^-2</f>
        <v>0.76946752847029842</v>
      </c>
    </row>
    <row r="179" spans="5:22" x14ac:dyDescent="0.35">
      <c r="E179" s="20"/>
      <c r="F179" s="20"/>
      <c r="G179" s="20"/>
      <c r="H179" s="23">
        <f>E$29-E$99*(1+$E156)^-$C$5+E$35*$J180+SUMPRODUCT(E$36:E$65,$R$177:$R$206)+E$67*$J180+SUMPRODUCT(E$68:E$97,$R$177:$R$206)+E$31*$C$9*$K180+E$32*$C$13*$L180+E$33*$C$17*$M180</f>
        <v>0</v>
      </c>
      <c r="I179" s="20"/>
      <c r="J179" s="20">
        <f t="shared" si="2"/>
        <v>13.590326344967698</v>
      </c>
      <c r="K179" s="20">
        <f t="shared" si="3"/>
        <v>24.57582250350411</v>
      </c>
      <c r="L179" s="20">
        <f t="shared" si="4"/>
        <v>13.5903263449677</v>
      </c>
      <c r="M179" s="20">
        <f t="shared" si="5"/>
        <v>13.5903263449677</v>
      </c>
      <c r="N179" s="20"/>
      <c r="O179" s="20">
        <f t="shared" ref="O179:O206" si="6">(1+$E$153)^-$B38</f>
        <v>0.99700599001497947</v>
      </c>
      <c r="P179" s="20">
        <f t="shared" ref="P179:P206" si="7">(1+$E$154)^-$B38</f>
        <v>0.94232233454704462</v>
      </c>
      <c r="Q179" s="20">
        <f t="shared" ref="Q179:Q206" si="8">(1+$E$155)^-$B38</f>
        <v>0.88899635867091487</v>
      </c>
      <c r="R179" s="20">
        <f t="shared" ref="R179:R206" si="9">(1+$E$156)^-$B38</f>
        <v>0.8396192830323016</v>
      </c>
      <c r="S179" s="20">
        <f t="shared" ref="S179:S206" si="10">(1+$E$157)^-$B38</f>
        <v>0.79383224102016958</v>
      </c>
      <c r="T179" s="20">
        <f t="shared" ref="T179:T206" si="11">(1+$E$158)^-$B38</f>
        <v>0.75131480090157754</v>
      </c>
      <c r="U179" s="20">
        <f t="shared" ref="U179:U206" si="12">(1+$E$159)^-$B38</f>
        <v>0.71178024781341087</v>
      </c>
      <c r="V179" s="20">
        <f t="shared" ref="V179:V206" si="13">(1+$E$160)^-$B38</f>
        <v>0.67497151620201612</v>
      </c>
    </row>
    <row r="180" spans="5:22" x14ac:dyDescent="0.35">
      <c r="E180" s="20"/>
      <c r="F180" s="20"/>
      <c r="G180" s="20"/>
      <c r="H180" s="23">
        <f>E$29-E$99*(1+$E157)^-$C$5+E$35*$J181+SUMPRODUCT(E$36:E$65,$S$177:$S$206)+E$67*$J181+SUMPRODUCT(E$68:E$97,$S$177:$S$206)+E$31*$C$9*$K181+E$32*$C$13*$L181+E$33*$C$17*$M181</f>
        <v>0</v>
      </c>
      <c r="I180" s="20"/>
      <c r="J180" s="20">
        <f t="shared" si="2"/>
        <v>11.469921218565263</v>
      </c>
      <c r="K180" s="20">
        <f t="shared" si="3"/>
        <v>20</v>
      </c>
      <c r="L180" s="20">
        <f t="shared" si="4"/>
        <v>11.469921218565261</v>
      </c>
      <c r="M180" s="20">
        <f t="shared" si="5"/>
        <v>11.469921218565261</v>
      </c>
      <c r="N180" s="20"/>
      <c r="O180" s="20">
        <f t="shared" si="6"/>
        <v>0.99600998003494456</v>
      </c>
      <c r="P180" s="20">
        <f t="shared" si="7"/>
        <v>0.9238454260265142</v>
      </c>
      <c r="Q180" s="20">
        <f t="shared" si="8"/>
        <v>0.85480419102972571</v>
      </c>
      <c r="R180" s="20">
        <f t="shared" si="9"/>
        <v>0.79209366323802044</v>
      </c>
      <c r="S180" s="20">
        <f t="shared" si="10"/>
        <v>0.73502985279645328</v>
      </c>
      <c r="T180" s="20">
        <f t="shared" si="11"/>
        <v>0.68301345536507052</v>
      </c>
      <c r="U180" s="20">
        <f t="shared" si="12"/>
        <v>0.63551807840483121</v>
      </c>
      <c r="V180" s="20">
        <f t="shared" si="13"/>
        <v>0.59208027737018942</v>
      </c>
    </row>
    <row r="181" spans="5:22" x14ac:dyDescent="0.35">
      <c r="E181" s="20"/>
      <c r="F181" s="20"/>
      <c r="G181" s="20"/>
      <c r="H181" s="23">
        <f>E$29-E$99*(1+$E158)^-$C$5+E$35*$J182+SUMPRODUCT(E$36:E$65,$T$177:$T$206)+E$67*$J182+SUMPRODUCT(E$68:E$97,$T$177:$T$206)+E$31*$C$9*$K182+E$32*$C$13*$L182+E$33*$C$17*$M182</f>
        <v>0</v>
      </c>
      <c r="I181" s="20"/>
      <c r="J181" s="20">
        <f t="shared" si="2"/>
        <v>9.8181474074492936</v>
      </c>
      <c r="K181" s="20">
        <f t="shared" si="3"/>
        <v>16.531486177342849</v>
      </c>
      <c r="L181" s="20">
        <f t="shared" si="4"/>
        <v>9.8181474074492865</v>
      </c>
      <c r="M181" s="20">
        <f t="shared" si="5"/>
        <v>9.8181474074492865</v>
      </c>
      <c r="N181" s="20"/>
      <c r="O181" s="20">
        <f t="shared" si="6"/>
        <v>0.99501496506987486</v>
      </c>
      <c r="P181" s="20">
        <f t="shared" si="7"/>
        <v>0.90573080982991594</v>
      </c>
      <c r="Q181" s="20">
        <f t="shared" si="8"/>
        <v>0.82192710675935154</v>
      </c>
      <c r="R181" s="20">
        <f t="shared" si="9"/>
        <v>0.74725817286605689</v>
      </c>
      <c r="S181" s="20">
        <f t="shared" si="10"/>
        <v>0.68058319703375303</v>
      </c>
      <c r="T181" s="20">
        <f t="shared" si="11"/>
        <v>0.62092132305915493</v>
      </c>
      <c r="U181" s="20">
        <f t="shared" si="12"/>
        <v>0.56742685571859919</v>
      </c>
      <c r="V181" s="20">
        <f t="shared" si="13"/>
        <v>0.51936866435981521</v>
      </c>
    </row>
    <row r="182" spans="5:22" x14ac:dyDescent="0.35">
      <c r="E182" s="20"/>
      <c r="F182" s="20"/>
      <c r="G182" s="20"/>
      <c r="H182" s="23">
        <f>E$29-E$99*(1+$E159)^-$C$5+E$35*$J183+SUMPRODUCT(E$36:E$65,$U$177:$U$206)+E$67*$J183+SUMPRODUCT(E$68:E$97,$U$177:$U$206)+E$31*$C$9*$K183+E$32*$C$13*$L183+E$33*$C$17*$M183</f>
        <v>0</v>
      </c>
      <c r="I182" s="20"/>
      <c r="J182" s="20">
        <f t="shared" si="2"/>
        <v>8.5135637197585652</v>
      </c>
      <c r="K182" s="20">
        <f t="shared" si="3"/>
        <v>13.866913317901975</v>
      </c>
      <c r="L182" s="20">
        <f t="shared" si="4"/>
        <v>8.5135637197585563</v>
      </c>
      <c r="M182" s="20">
        <f t="shared" si="5"/>
        <v>8.5135637197585563</v>
      </c>
      <c r="N182" s="20"/>
      <c r="O182" s="20">
        <f t="shared" si="6"/>
        <v>0.99402094412574937</v>
      </c>
      <c r="P182" s="20">
        <f t="shared" si="7"/>
        <v>0.88797138218619198</v>
      </c>
      <c r="Q182" s="20">
        <f t="shared" si="8"/>
        <v>0.79031452573014571</v>
      </c>
      <c r="R182" s="20">
        <f t="shared" si="9"/>
        <v>0.70496054043967626</v>
      </c>
      <c r="S182" s="20">
        <f t="shared" si="10"/>
        <v>0.63016962688310452</v>
      </c>
      <c r="T182" s="20">
        <f t="shared" si="11"/>
        <v>0.56447393005377722</v>
      </c>
      <c r="U182" s="20">
        <f t="shared" si="12"/>
        <v>0.50663112117732068</v>
      </c>
      <c r="V182" s="20">
        <f t="shared" si="13"/>
        <v>0.45558654768404844</v>
      </c>
    </row>
    <row r="183" spans="5:22" x14ac:dyDescent="0.35">
      <c r="H183" s="23">
        <f>E$29-E$99*(1+$E160)^-$C$5+E$35*$J184+SUMPRODUCT(E$36:E$65,$V$177:$V$206)+E$67*$J184+SUMPRODUCT(E$68:E$97,$V$177:$V$206)+E$31*$C$9*$K184+E$32*$C$13*$L184+E$33*$C$17*$M184</f>
        <v>0</v>
      </c>
      <c r="I183" s="20"/>
      <c r="J183" s="20">
        <f t="shared" si="2"/>
        <v>7.4694436243275977</v>
      </c>
      <c r="K183" s="20">
        <f t="shared" si="3"/>
        <v>11.792970647422978</v>
      </c>
      <c r="L183" s="20">
        <f t="shared" si="4"/>
        <v>7.4694436243275897</v>
      </c>
      <c r="M183" s="20">
        <f t="shared" si="5"/>
        <v>7.4694436243275897</v>
      </c>
      <c r="N183" s="20"/>
      <c r="O183" s="20">
        <f t="shared" si="6"/>
        <v>0.99302791620954001</v>
      </c>
      <c r="P183" s="20">
        <f t="shared" si="7"/>
        <v>0.87056017861391388</v>
      </c>
      <c r="Q183" s="20">
        <f t="shared" si="8"/>
        <v>0.75991781320206331</v>
      </c>
      <c r="R183" s="20">
        <f t="shared" si="9"/>
        <v>0.66505711362233599</v>
      </c>
      <c r="S183" s="20">
        <f t="shared" si="10"/>
        <v>0.58349039526213387</v>
      </c>
      <c r="T183" s="20">
        <f t="shared" si="11"/>
        <v>0.51315811823070645</v>
      </c>
      <c r="U183" s="20">
        <f t="shared" si="12"/>
        <v>0.45234921533689343</v>
      </c>
      <c r="V183" s="20">
        <f t="shared" si="13"/>
        <v>0.39963732252986695</v>
      </c>
    </row>
    <row r="184" spans="5:22" x14ac:dyDescent="0.35">
      <c r="H184" s="20"/>
      <c r="I184" s="20"/>
      <c r="J184" s="20">
        <f t="shared" si="2"/>
        <v>6.6231305516159438</v>
      </c>
      <c r="K184" s="20">
        <f t="shared" si="3"/>
        <v>10.158023696816352</v>
      </c>
      <c r="L184" s="20">
        <f t="shared" si="4"/>
        <v>6.6231305516159384</v>
      </c>
      <c r="M184" s="20">
        <f t="shared" si="5"/>
        <v>6.6231305516159384</v>
      </c>
      <c r="N184" s="20"/>
      <c r="O184" s="20">
        <f t="shared" si="6"/>
        <v>0.99203588032921075</v>
      </c>
      <c r="P184" s="20">
        <f t="shared" si="7"/>
        <v>0.85349037119011162</v>
      </c>
      <c r="Q184" s="20">
        <f t="shared" si="8"/>
        <v>0.73069020500198378</v>
      </c>
      <c r="R184" s="20">
        <f t="shared" si="9"/>
        <v>0.62741237134182648</v>
      </c>
      <c r="S184" s="20">
        <f t="shared" si="10"/>
        <v>0.54026888450197574</v>
      </c>
      <c r="T184" s="20">
        <f t="shared" si="11"/>
        <v>0.46650738020973315</v>
      </c>
      <c r="U184" s="20">
        <f t="shared" si="12"/>
        <v>0.4038832279793691</v>
      </c>
      <c r="V184" s="20">
        <f t="shared" si="13"/>
        <v>0.35055905485076044</v>
      </c>
    </row>
    <row r="185" spans="5:22" x14ac:dyDescent="0.35">
      <c r="H185" s="20"/>
      <c r="I185" s="20"/>
      <c r="J185" s="20"/>
      <c r="K185" s="20"/>
      <c r="L185" s="20"/>
      <c r="M185" s="20"/>
      <c r="N185" s="20"/>
      <c r="O185" s="20">
        <f t="shared" si="6"/>
        <v>0.99104483549371702</v>
      </c>
      <c r="P185" s="20">
        <f t="shared" si="7"/>
        <v>0.83675526587265847</v>
      </c>
      <c r="Q185" s="20">
        <f t="shared" si="8"/>
        <v>0.70258673557883045</v>
      </c>
      <c r="R185" s="20">
        <f t="shared" si="9"/>
        <v>0.59189846353002495</v>
      </c>
      <c r="S185" s="20">
        <f t="shared" si="10"/>
        <v>0.50024896713145905</v>
      </c>
      <c r="T185" s="20">
        <f t="shared" si="11"/>
        <v>0.42409761837248466</v>
      </c>
      <c r="U185" s="20">
        <f t="shared" si="12"/>
        <v>0.36061002498157957</v>
      </c>
      <c r="V185" s="20">
        <f t="shared" si="13"/>
        <v>0.3075079428515442</v>
      </c>
    </row>
    <row r="186" spans="5:22" x14ac:dyDescent="0.35">
      <c r="H186" s="20"/>
      <c r="I186" s="20"/>
      <c r="J186" s="20"/>
      <c r="K186" s="20"/>
      <c r="L186" s="20"/>
      <c r="M186" s="20"/>
      <c r="N186" s="20"/>
      <c r="O186" s="20">
        <f t="shared" si="6"/>
        <v>0.99005478071300423</v>
      </c>
      <c r="P186" s="20">
        <f t="shared" si="7"/>
        <v>0.82034829987515534</v>
      </c>
      <c r="Q186" s="20">
        <f t="shared" si="8"/>
        <v>0.67556416882579851</v>
      </c>
      <c r="R186" s="20">
        <f t="shared" si="9"/>
        <v>0.55839477691511785</v>
      </c>
      <c r="S186" s="20">
        <f t="shared" si="10"/>
        <v>0.46319348808468425</v>
      </c>
      <c r="T186" s="20">
        <f t="shared" si="11"/>
        <v>0.38554328942953148</v>
      </c>
      <c r="U186" s="20">
        <f t="shared" si="12"/>
        <v>0.32197323659069599</v>
      </c>
      <c r="V186" s="20">
        <f t="shared" si="13"/>
        <v>0.26974380951889843</v>
      </c>
    </row>
    <row r="187" spans="5:22" x14ac:dyDescent="0.35">
      <c r="H187" s="20"/>
      <c r="I187" s="20"/>
      <c r="J187" s="20"/>
      <c r="K187" s="20"/>
      <c r="L187" s="20"/>
      <c r="M187" s="20"/>
      <c r="N187" s="20"/>
      <c r="O187" s="20">
        <f t="shared" si="6"/>
        <v>0.98906571499800655</v>
      </c>
      <c r="P187" s="20">
        <f t="shared" si="7"/>
        <v>0.80426303909328967</v>
      </c>
      <c r="Q187" s="20">
        <f t="shared" si="8"/>
        <v>0.6495809315632679</v>
      </c>
      <c r="R187" s="20">
        <f t="shared" si="9"/>
        <v>0.52678752539162055</v>
      </c>
      <c r="S187" s="20">
        <f t="shared" si="10"/>
        <v>0.42888285933767062</v>
      </c>
      <c r="T187" s="20">
        <f t="shared" si="11"/>
        <v>0.3504938994813922</v>
      </c>
      <c r="U187" s="20">
        <f t="shared" si="12"/>
        <v>0.28747610409883567</v>
      </c>
      <c r="V187" s="20">
        <f t="shared" si="13"/>
        <v>0.23661737677096348</v>
      </c>
    </row>
    <row r="188" spans="5:22" x14ac:dyDescent="0.35">
      <c r="H188" s="20"/>
      <c r="I188" s="20"/>
      <c r="J188" s="20"/>
      <c r="K188" s="20"/>
      <c r="L188" s="20"/>
      <c r="M188" s="20"/>
      <c r="N188" s="20"/>
      <c r="O188" s="20">
        <f t="shared" si="6"/>
        <v>0.98807763736064591</v>
      </c>
      <c r="P188" s="20">
        <f t="shared" si="7"/>
        <v>0.78849317558165644</v>
      </c>
      <c r="Q188" s="20">
        <f t="shared" si="8"/>
        <v>0.62459704958006512</v>
      </c>
      <c r="R188" s="20">
        <f t="shared" si="9"/>
        <v>0.4969693635770005</v>
      </c>
      <c r="S188" s="20">
        <f t="shared" si="10"/>
        <v>0.39711375864599124</v>
      </c>
      <c r="T188" s="20">
        <f t="shared" si="11"/>
        <v>0.31863081771035656</v>
      </c>
      <c r="U188" s="20">
        <f t="shared" si="12"/>
        <v>0.25667509294538904</v>
      </c>
      <c r="V188" s="20">
        <f t="shared" si="13"/>
        <v>0.20755910243066969</v>
      </c>
    </row>
    <row r="189" spans="5:22" x14ac:dyDescent="0.35">
      <c r="H189" s="20"/>
      <c r="I189" s="20"/>
      <c r="J189" s="20"/>
      <c r="K189" s="20"/>
      <c r="L189" s="20"/>
      <c r="M189" s="20"/>
      <c r="N189" s="20"/>
      <c r="O189" s="20">
        <f t="shared" si="6"/>
        <v>0.98709054681383213</v>
      </c>
      <c r="P189" s="20">
        <f t="shared" si="7"/>
        <v>0.77303252508005538</v>
      </c>
      <c r="Q189" s="20">
        <f t="shared" si="8"/>
        <v>0.600574086134678</v>
      </c>
      <c r="R189" s="20">
        <f t="shared" si="9"/>
        <v>0.46883902224245327</v>
      </c>
      <c r="S189" s="20">
        <f t="shared" si="10"/>
        <v>0.36769792467221413</v>
      </c>
      <c r="T189" s="20">
        <f t="shared" si="11"/>
        <v>0.28966437973668779</v>
      </c>
      <c r="U189" s="20">
        <f t="shared" si="12"/>
        <v>0.22917419012981158</v>
      </c>
      <c r="V189" s="20">
        <f t="shared" si="13"/>
        <v>0.18206938809707865</v>
      </c>
    </row>
    <row r="190" spans="5:22" x14ac:dyDescent="0.35">
      <c r="H190" s="20"/>
      <c r="I190" s="20"/>
      <c r="J190" s="20"/>
      <c r="K190" s="20"/>
      <c r="L190" s="20"/>
      <c r="M190" s="20"/>
      <c r="N190" s="20"/>
      <c r="O190" s="20">
        <f t="shared" si="6"/>
        <v>0.986104442371461</v>
      </c>
      <c r="P190" s="20">
        <f t="shared" si="7"/>
        <v>0.75787502458828948</v>
      </c>
      <c r="Q190" s="20">
        <f t="shared" si="8"/>
        <v>0.57747508282180582</v>
      </c>
      <c r="R190" s="20">
        <f t="shared" si="9"/>
        <v>0.44230096437967292</v>
      </c>
      <c r="S190" s="20">
        <f t="shared" si="10"/>
        <v>0.34046104136316119</v>
      </c>
      <c r="T190" s="20">
        <f t="shared" si="11"/>
        <v>0.26333125430607973</v>
      </c>
      <c r="U190" s="20">
        <f t="shared" si="12"/>
        <v>0.20461981261590317</v>
      </c>
      <c r="V190" s="20">
        <f t="shared" si="13"/>
        <v>0.15970998955884091</v>
      </c>
    </row>
    <row r="191" spans="5:22" x14ac:dyDescent="0.35">
      <c r="H191" s="23"/>
      <c r="I191" s="20"/>
      <c r="J191" s="20"/>
      <c r="K191" s="20"/>
      <c r="L191" s="20"/>
      <c r="M191" s="20"/>
      <c r="N191" s="20"/>
      <c r="O191" s="20">
        <f t="shared" si="6"/>
        <v>0.98511932304841265</v>
      </c>
      <c r="P191" s="20">
        <f t="shared" si="7"/>
        <v>0.74301472998851925</v>
      </c>
      <c r="Q191" s="20">
        <f t="shared" si="8"/>
        <v>0.55526450271327477</v>
      </c>
      <c r="R191" s="20">
        <f t="shared" si="9"/>
        <v>0.41726506073554037</v>
      </c>
      <c r="S191" s="20">
        <f t="shared" si="10"/>
        <v>0.31524170496588994</v>
      </c>
      <c r="T191" s="20">
        <f t="shared" si="11"/>
        <v>0.23939204936916339</v>
      </c>
      <c r="U191" s="20">
        <f t="shared" si="12"/>
        <v>0.18269626126419927</v>
      </c>
      <c r="V191" s="20">
        <f t="shared" si="13"/>
        <v>0.1400964820691587</v>
      </c>
    </row>
    <row r="192" spans="5:22" x14ac:dyDescent="0.35">
      <c r="H192" s="23"/>
      <c r="I192" s="20"/>
      <c r="J192" s="20"/>
      <c r="K192" s="20"/>
      <c r="L192" s="20"/>
      <c r="M192" s="20"/>
      <c r="N192" s="20"/>
      <c r="O192" s="20">
        <f t="shared" si="6"/>
        <v>0.98413518786055221</v>
      </c>
      <c r="P192" s="20">
        <f t="shared" si="7"/>
        <v>0.72844581371423445</v>
      </c>
      <c r="Q192" s="20">
        <f t="shared" si="8"/>
        <v>0.53390817568584104</v>
      </c>
      <c r="R192" s="20">
        <f t="shared" si="9"/>
        <v>0.39364628371277405</v>
      </c>
      <c r="S192" s="20">
        <f t="shared" si="10"/>
        <v>0.29189046756100923</v>
      </c>
      <c r="T192" s="20">
        <f t="shared" si="11"/>
        <v>0.21762913579014853</v>
      </c>
      <c r="U192" s="20">
        <f t="shared" si="12"/>
        <v>0.16312166184303503</v>
      </c>
      <c r="V192" s="20">
        <f t="shared" si="13"/>
        <v>0.12289165093785848</v>
      </c>
    </row>
    <row r="193" spans="8:22" x14ac:dyDescent="0.35">
      <c r="H193" s="23"/>
      <c r="I193" s="20"/>
      <c r="J193" s="20"/>
      <c r="K193" s="20"/>
      <c r="L193" s="20"/>
      <c r="M193" s="20"/>
      <c r="N193" s="20"/>
      <c r="O193" s="20">
        <f t="shared" si="6"/>
        <v>0.98315203582472765</v>
      </c>
      <c r="P193" s="20">
        <f t="shared" si="7"/>
        <v>0.7141625624649357</v>
      </c>
      <c r="Q193" s="20">
        <f t="shared" si="8"/>
        <v>0.51337324585177024</v>
      </c>
      <c r="R193" s="20">
        <f t="shared" si="9"/>
        <v>0.37136441859695657</v>
      </c>
      <c r="S193" s="20">
        <f t="shared" si="10"/>
        <v>0.27026895144537894</v>
      </c>
      <c r="T193" s="20">
        <f t="shared" si="11"/>
        <v>0.19784466890013502</v>
      </c>
      <c r="U193" s="20">
        <f t="shared" si="12"/>
        <v>0.14564434093128129</v>
      </c>
      <c r="V193" s="20">
        <f t="shared" si="13"/>
        <v>0.107799693805139</v>
      </c>
    </row>
    <row r="194" spans="8:22" x14ac:dyDescent="0.35">
      <c r="H194" s="23"/>
      <c r="I194" s="20"/>
      <c r="J194" s="20"/>
      <c r="K194" s="20"/>
      <c r="L194" s="20"/>
      <c r="M194" s="20"/>
      <c r="N194" s="20"/>
      <c r="O194" s="20">
        <f t="shared" si="6"/>
        <v>0.98216986595876898</v>
      </c>
      <c r="P194" s="20">
        <f t="shared" si="7"/>
        <v>0.7001593749656233</v>
      </c>
      <c r="Q194" s="20">
        <f t="shared" si="8"/>
        <v>0.49362812101131748</v>
      </c>
      <c r="R194" s="20">
        <f t="shared" si="9"/>
        <v>0.35034379112920433</v>
      </c>
      <c r="S194" s="20">
        <f t="shared" si="10"/>
        <v>0.25024902911609154</v>
      </c>
      <c r="T194" s="20">
        <f t="shared" si="11"/>
        <v>0.17985878990921364</v>
      </c>
      <c r="U194" s="20">
        <f t="shared" si="12"/>
        <v>0.13003959011721541</v>
      </c>
      <c r="V194" s="20">
        <f t="shared" si="13"/>
        <v>9.4561134916788581E-2</v>
      </c>
    </row>
    <row r="195" spans="8:22" x14ac:dyDescent="0.35">
      <c r="H195" s="23"/>
      <c r="I195" s="20"/>
      <c r="J195" s="20"/>
      <c r="K195" s="20"/>
      <c r="L195" s="20"/>
      <c r="M195" s="20"/>
      <c r="N195" s="20"/>
      <c r="O195" s="20">
        <f t="shared" si="6"/>
        <v>0.98118867728148773</v>
      </c>
      <c r="P195" s="20">
        <f t="shared" si="7"/>
        <v>0.68643075977021895</v>
      </c>
      <c r="Q195" s="20">
        <f t="shared" si="8"/>
        <v>0.47464242404934376</v>
      </c>
      <c r="R195" s="20">
        <f t="shared" si="9"/>
        <v>0.3305130104992493</v>
      </c>
      <c r="S195" s="20">
        <f t="shared" si="10"/>
        <v>0.23171206399638106</v>
      </c>
      <c r="T195" s="20">
        <f t="shared" si="11"/>
        <v>0.16350799082655781</v>
      </c>
      <c r="U195" s="20">
        <f t="shared" si="12"/>
        <v>0.1161067768903709</v>
      </c>
      <c r="V195" s="20">
        <f t="shared" si="13"/>
        <v>8.2948363962095248E-2</v>
      </c>
    </row>
    <row r="196" spans="8:22" x14ac:dyDescent="0.35">
      <c r="H196" s="20"/>
      <c r="I196" s="20"/>
      <c r="J196" s="20"/>
      <c r="K196" s="20"/>
      <c r="L196" s="20"/>
      <c r="M196" s="20"/>
      <c r="N196" s="20"/>
      <c r="O196" s="20">
        <f t="shared" si="6"/>
        <v>0.98020846881267509</v>
      </c>
      <c r="P196" s="20">
        <f t="shared" si="7"/>
        <v>0.67297133310805779</v>
      </c>
      <c r="Q196" s="20">
        <f t="shared" si="8"/>
        <v>0.45638694620129205</v>
      </c>
      <c r="R196" s="20">
        <f t="shared" si="9"/>
        <v>0.31180472688608429</v>
      </c>
      <c r="S196" s="20">
        <f t="shared" si="10"/>
        <v>0.21454820740405653</v>
      </c>
      <c r="T196" s="20">
        <f t="shared" si="11"/>
        <v>0.14864362802414349</v>
      </c>
      <c r="U196" s="20">
        <f t="shared" si="12"/>
        <v>0.1036667650806883</v>
      </c>
      <c r="V196" s="20">
        <f t="shared" si="13"/>
        <v>7.2761722773767745E-2</v>
      </c>
    </row>
    <row r="197" spans="8:22" x14ac:dyDescent="0.35">
      <c r="H197" s="20"/>
      <c r="I197" s="20"/>
      <c r="J197" s="20"/>
      <c r="K197" s="20"/>
      <c r="L197" s="20"/>
      <c r="M197" s="20"/>
      <c r="N197" s="20"/>
      <c r="O197" s="20">
        <f t="shared" si="6"/>
        <v>0.97922923957310215</v>
      </c>
      <c r="P197" s="20">
        <f t="shared" si="7"/>
        <v>0.65977581677260566</v>
      </c>
      <c r="Q197" s="20">
        <f t="shared" si="8"/>
        <v>0.43883360211662686</v>
      </c>
      <c r="R197" s="20">
        <f t="shared" si="9"/>
        <v>0.29415540272272095</v>
      </c>
      <c r="S197" s="20">
        <f t="shared" si="10"/>
        <v>0.19865574759634863</v>
      </c>
      <c r="T197" s="20">
        <f t="shared" si="11"/>
        <v>0.13513057093103953</v>
      </c>
      <c r="U197" s="20">
        <f t="shared" si="12"/>
        <v>9.2559611679185971E-2</v>
      </c>
      <c r="V197" s="20">
        <f t="shared" si="13"/>
        <v>6.3826072608568193E-2</v>
      </c>
    </row>
    <row r="198" spans="8:22" x14ac:dyDescent="0.35">
      <c r="H198" s="20"/>
      <c r="I198" s="20"/>
      <c r="J198" s="20"/>
      <c r="K198" s="20"/>
      <c r="L198" s="20"/>
      <c r="M198" s="20"/>
      <c r="N198" s="20"/>
      <c r="O198" s="20">
        <f t="shared" si="6"/>
        <v>0.97825098858451787</v>
      </c>
      <c r="P198" s="20">
        <f t="shared" si="7"/>
        <v>0.64683903605157411</v>
      </c>
      <c r="Q198" s="20">
        <f t="shared" si="8"/>
        <v>0.42195538665060278</v>
      </c>
      <c r="R198" s="20">
        <f t="shared" si="9"/>
        <v>0.27750509690822728</v>
      </c>
      <c r="S198" s="20">
        <f t="shared" si="10"/>
        <v>0.18394050703365611</v>
      </c>
      <c r="T198" s="20">
        <f t="shared" si="11"/>
        <v>0.12284597357367227</v>
      </c>
      <c r="U198" s="20">
        <f t="shared" si="12"/>
        <v>8.2642510427844609E-2</v>
      </c>
      <c r="V198" s="20">
        <f t="shared" si="13"/>
        <v>5.5987782989972097E-2</v>
      </c>
    </row>
    <row r="199" spans="8:22" x14ac:dyDescent="0.35">
      <c r="H199" s="20"/>
      <c r="I199" s="20"/>
      <c r="J199" s="20"/>
      <c r="K199" s="20"/>
      <c r="L199" s="20"/>
      <c r="M199" s="20"/>
      <c r="N199" s="20"/>
      <c r="O199" s="20">
        <f t="shared" si="6"/>
        <v>0.97727371486964842</v>
      </c>
      <c r="P199" s="20">
        <f t="shared" si="7"/>
        <v>0.63415591769762181</v>
      </c>
      <c r="Q199" s="20">
        <f t="shared" si="8"/>
        <v>0.40572633331788732</v>
      </c>
      <c r="R199" s="20">
        <f t="shared" si="9"/>
        <v>0.26179726123417668</v>
      </c>
      <c r="S199" s="20">
        <f t="shared" si="10"/>
        <v>0.17031528429042234</v>
      </c>
      <c r="T199" s="20">
        <f t="shared" si="11"/>
        <v>0.11167815779424752</v>
      </c>
      <c r="U199" s="20">
        <f t="shared" si="12"/>
        <v>7.3787955739146982E-2</v>
      </c>
      <c r="V199" s="20">
        <f t="shared" si="13"/>
        <v>4.9112090342080778E-2</v>
      </c>
    </row>
    <row r="200" spans="8:22" x14ac:dyDescent="0.35">
      <c r="H200" s="20"/>
      <c r="I200" s="20"/>
      <c r="J200" s="20"/>
      <c r="K200" s="20"/>
      <c r="L200" s="20"/>
      <c r="M200" s="20"/>
      <c r="N200" s="20"/>
      <c r="O200" s="20">
        <f t="shared" si="6"/>
        <v>0.976297417452196</v>
      </c>
      <c r="P200" s="20">
        <f t="shared" si="7"/>
        <v>0.62172148793884485</v>
      </c>
      <c r="Q200" s="20">
        <f t="shared" si="8"/>
        <v>0.39012147434412242</v>
      </c>
      <c r="R200" s="20">
        <f t="shared" si="9"/>
        <v>0.24697854833412897</v>
      </c>
      <c r="S200" s="20">
        <f t="shared" si="10"/>
        <v>0.1576993373059466</v>
      </c>
      <c r="T200" s="20">
        <f t="shared" si="11"/>
        <v>0.10152559799477048</v>
      </c>
      <c r="U200" s="20">
        <f t="shared" si="12"/>
        <v>6.5882103338524081E-2</v>
      </c>
      <c r="V200" s="20">
        <f t="shared" si="13"/>
        <v>4.3080781001825233E-2</v>
      </c>
    </row>
    <row r="201" spans="8:22" x14ac:dyDescent="0.35">
      <c r="H201" s="20"/>
      <c r="I201" s="20"/>
      <c r="J201" s="20"/>
      <c r="K201" s="20"/>
      <c r="L201" s="20"/>
      <c r="M201" s="20"/>
      <c r="N201" s="20"/>
      <c r="O201" s="20">
        <f t="shared" si="6"/>
        <v>0.97532209535683934</v>
      </c>
      <c r="P201" s="20">
        <f t="shared" si="7"/>
        <v>0.60953087052827937</v>
      </c>
      <c r="Q201" s="20">
        <f t="shared" si="8"/>
        <v>0.37511680225396377</v>
      </c>
      <c r="R201" s="20">
        <f t="shared" si="9"/>
        <v>0.23299863050389524</v>
      </c>
      <c r="S201" s="20">
        <f t="shared" si="10"/>
        <v>0.1460179049129135</v>
      </c>
      <c r="T201" s="20">
        <f t="shared" si="11"/>
        <v>9.2295998177064048E-2</v>
      </c>
      <c r="U201" s="20">
        <f t="shared" si="12"/>
        <v>5.8823306552253637E-2</v>
      </c>
      <c r="V201" s="20">
        <f t="shared" si="13"/>
        <v>3.779015877353091E-2</v>
      </c>
    </row>
    <row r="202" spans="8:22" x14ac:dyDescent="0.35">
      <c r="H202" s="20"/>
      <c r="I202" s="20"/>
      <c r="J202" s="20"/>
      <c r="K202" s="20"/>
      <c r="L202" s="20"/>
      <c r="M202" s="20"/>
      <c r="N202" s="20"/>
      <c r="O202" s="20">
        <f t="shared" si="6"/>
        <v>0.97434774760923015</v>
      </c>
      <c r="P202" s="20">
        <f t="shared" si="7"/>
        <v>0.59757928483164635</v>
      </c>
      <c r="Q202" s="20">
        <f t="shared" si="8"/>
        <v>0.36068923293650368</v>
      </c>
      <c r="R202" s="20">
        <f t="shared" si="9"/>
        <v>0.21981002877725966</v>
      </c>
      <c r="S202" s="20">
        <f t="shared" si="10"/>
        <v>0.13520176380825324</v>
      </c>
      <c r="T202" s="20">
        <f t="shared" si="11"/>
        <v>8.3905452888240042E-2</v>
      </c>
      <c r="U202" s="20">
        <f t="shared" si="12"/>
        <v>5.2520809421655032E-2</v>
      </c>
      <c r="V202" s="20">
        <f t="shared" si="13"/>
        <v>3.3149262082044648E-2</v>
      </c>
    </row>
    <row r="203" spans="8:22" x14ac:dyDescent="0.35">
      <c r="H203" s="20"/>
      <c r="I203" s="20"/>
      <c r="J203" s="20"/>
      <c r="K203" s="20"/>
      <c r="L203" s="20"/>
      <c r="M203" s="20"/>
      <c r="N203" s="20"/>
      <c r="O203" s="20">
        <f t="shared" si="6"/>
        <v>0.97337437323599441</v>
      </c>
      <c r="P203" s="20">
        <f t="shared" si="7"/>
        <v>0.58586204395259456</v>
      </c>
      <c r="Q203" s="20">
        <f t="shared" si="8"/>
        <v>0.3468165701312535</v>
      </c>
      <c r="R203" s="20">
        <f t="shared" si="9"/>
        <v>0.20736795167666003</v>
      </c>
      <c r="S203" s="20">
        <f t="shared" si="10"/>
        <v>0.12518681834097523</v>
      </c>
      <c r="T203" s="20">
        <f t="shared" si="11"/>
        <v>7.6277684443854576E-2</v>
      </c>
      <c r="U203" s="20">
        <f t="shared" si="12"/>
        <v>4.6893579840763415E-2</v>
      </c>
      <c r="V203" s="20">
        <f t="shared" si="13"/>
        <v>2.9078300071968988E-2</v>
      </c>
    </row>
    <row r="204" spans="8:22" x14ac:dyDescent="0.35">
      <c r="H204" s="20"/>
      <c r="I204" s="20"/>
      <c r="J204" s="20"/>
      <c r="K204" s="20"/>
      <c r="L204" s="20"/>
      <c r="M204" s="20"/>
      <c r="N204" s="20"/>
      <c r="O204" s="20">
        <f t="shared" si="6"/>
        <v>0.97240197126472983</v>
      </c>
      <c r="P204" s="20">
        <f t="shared" si="7"/>
        <v>0.57437455289470041</v>
      </c>
      <c r="Q204" s="20">
        <f t="shared" si="8"/>
        <v>0.3334774712800514</v>
      </c>
      <c r="R204" s="20">
        <f t="shared" si="9"/>
        <v>0.1956301430911887</v>
      </c>
      <c r="S204" s="20">
        <f t="shared" si="10"/>
        <v>0.11591372068608817</v>
      </c>
      <c r="T204" s="20">
        <f t="shared" si="11"/>
        <v>6.9343349494413245E-2</v>
      </c>
      <c r="U204" s="20">
        <f t="shared" si="12"/>
        <v>4.1869267714967337E-2</v>
      </c>
      <c r="V204" s="20">
        <f t="shared" si="13"/>
        <v>2.5507280764885072E-2</v>
      </c>
    </row>
    <row r="205" spans="8:22" x14ac:dyDescent="0.35">
      <c r="H205" s="20"/>
      <c r="I205" s="20"/>
      <c r="J205" s="20"/>
      <c r="K205" s="20"/>
      <c r="L205" s="20"/>
      <c r="M205" s="20"/>
      <c r="N205" s="20"/>
      <c r="O205" s="20">
        <f t="shared" si="6"/>
        <v>0.97143054072400581</v>
      </c>
      <c r="P205" s="20">
        <f t="shared" si="7"/>
        <v>0.56311230675951029</v>
      </c>
      <c r="Q205" s="20">
        <f t="shared" si="8"/>
        <v>0.32065141469235708</v>
      </c>
      <c r="R205" s="20">
        <f t="shared" si="9"/>
        <v>0.18455673876527234</v>
      </c>
      <c r="S205" s="20">
        <f t="shared" si="10"/>
        <v>0.10732751915378534</v>
      </c>
      <c r="T205" s="20">
        <f t="shared" si="11"/>
        <v>6.3039408631284766E-2</v>
      </c>
      <c r="U205" s="20">
        <f t="shared" si="12"/>
        <v>3.7383274745506546E-2</v>
      </c>
      <c r="V205" s="20">
        <f t="shared" si="13"/>
        <v>2.2374807688495677E-2</v>
      </c>
    </row>
    <row r="206" spans="8:22" x14ac:dyDescent="0.35">
      <c r="J206" s="20"/>
      <c r="K206" s="20"/>
      <c r="L206" s="20"/>
      <c r="M206" s="20"/>
      <c r="N206" s="20"/>
      <c r="O206" s="20">
        <f t="shared" si="6"/>
        <v>0.97046008064336287</v>
      </c>
      <c r="P206" s="20">
        <f t="shared" si="7"/>
        <v>0.55207088897991197</v>
      </c>
      <c r="Q206" s="20">
        <f t="shared" si="8"/>
        <v>0.30831866797342034</v>
      </c>
      <c r="R206" s="20">
        <f t="shared" si="9"/>
        <v>0.17411013091063426</v>
      </c>
      <c r="S206" s="20">
        <f t="shared" si="10"/>
        <v>9.9377332549801231E-2</v>
      </c>
      <c r="T206" s="20">
        <f t="shared" si="11"/>
        <v>5.7308553301167964E-2</v>
      </c>
      <c r="U206" s="20">
        <f t="shared" si="12"/>
        <v>3.3377923879916553E-2</v>
      </c>
      <c r="V206" s="20">
        <f t="shared" si="13"/>
        <v>1.9627024288154101E-2</v>
      </c>
    </row>
  </sheetData>
  <sheetProtection sheet="1" objects="1" scenarios="1"/>
  <protectedRanges>
    <protectedRange sqref="C5:C6 C8:C10 C12:C14 C16:C19" name="Generella_indata"/>
    <protectedRange sqref="C28:E29 C31:E33 C35:E65 C67:E97 C99:E99" name="Åtgärder_utrustningsalternativ"/>
  </protectedRanges>
  <mergeCells count="2">
    <mergeCell ref="A8:A20"/>
    <mergeCell ref="B113:E113"/>
  </mergeCells>
  <pageMargins left="0.7" right="0.7" top="0.75" bottom="0.75" header="0.3" footer="0.3"/>
  <pageSetup paperSize="9" scale="76" fitToHeight="0" orientation="landscape" r:id="rId1"/>
  <rowBreaks count="4" manualBreakCount="4">
    <brk id="100" max="16383" man="1"/>
    <brk id="118" max="16383" man="1"/>
    <brk id="149" max="16383" man="1"/>
    <brk id="17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B23"/>
  <sheetViews>
    <sheetView showGridLines="0" zoomScale="90" zoomScaleNormal="90" workbookViewId="0"/>
  </sheetViews>
  <sheetFormatPr defaultRowHeight="14.5" x14ac:dyDescent="0.35"/>
  <cols>
    <col min="1" max="1" width="37.1796875" customWidth="1"/>
    <col min="2" max="2" width="80.453125" customWidth="1"/>
  </cols>
  <sheetData>
    <row r="1" spans="1:2" ht="20" thickBot="1" x14ac:dyDescent="0.5">
      <c r="A1" s="10" t="s">
        <v>35</v>
      </c>
      <c r="B1" s="10"/>
    </row>
    <row r="2" spans="1:2" ht="48.75" customHeight="1" thickTop="1" x14ac:dyDescent="0.35">
      <c r="A2" s="48" t="s">
        <v>81</v>
      </c>
      <c r="B2" s="48"/>
    </row>
    <row r="3" spans="1:2" ht="25.5" customHeight="1" x14ac:dyDescent="0.35">
      <c r="A3" t="s">
        <v>76</v>
      </c>
    </row>
    <row r="4" spans="1:2" x14ac:dyDescent="0.35">
      <c r="A4" t="s">
        <v>34</v>
      </c>
    </row>
    <row r="5" spans="1:2" ht="30.75" customHeight="1" thickBot="1" x14ac:dyDescent="0.45">
      <c r="A5" s="9" t="s">
        <v>61</v>
      </c>
      <c r="B5" s="9" t="s">
        <v>62</v>
      </c>
    </row>
    <row r="6" spans="1:2" ht="29.5" thickTop="1" x14ac:dyDescent="0.35">
      <c r="A6" s="17" t="s">
        <v>71</v>
      </c>
      <c r="B6" s="18" t="s">
        <v>72</v>
      </c>
    </row>
    <row r="7" spans="1:2" ht="61.5" customHeight="1" x14ac:dyDescent="0.35">
      <c r="A7" s="17" t="s">
        <v>5</v>
      </c>
      <c r="B7" s="18" t="s">
        <v>36</v>
      </c>
    </row>
    <row r="8" spans="1:2" ht="32.25" customHeight="1" x14ac:dyDescent="0.35">
      <c r="A8" s="17" t="s">
        <v>41</v>
      </c>
      <c r="B8" s="18" t="s">
        <v>77</v>
      </c>
    </row>
    <row r="9" spans="1:2" ht="29" x14ac:dyDescent="0.35">
      <c r="A9" s="17" t="s">
        <v>49</v>
      </c>
      <c r="B9" s="18" t="s">
        <v>50</v>
      </c>
    </row>
    <row r="10" spans="1:2" x14ac:dyDescent="0.35">
      <c r="A10" s="17" t="s">
        <v>6</v>
      </c>
      <c r="B10" s="19" t="s">
        <v>37</v>
      </c>
    </row>
    <row r="11" spans="1:2" ht="43.5" x14ac:dyDescent="0.35">
      <c r="A11" s="17" t="s">
        <v>40</v>
      </c>
      <c r="B11" s="19" t="s">
        <v>80</v>
      </c>
    </row>
    <row r="12" spans="1:2" ht="58" x14ac:dyDescent="0.35">
      <c r="A12" s="17" t="s">
        <v>38</v>
      </c>
      <c r="B12" s="18" t="s">
        <v>69</v>
      </c>
    </row>
    <row r="13" spans="1:2" ht="93" customHeight="1" x14ac:dyDescent="0.35">
      <c r="A13" s="17" t="s">
        <v>39</v>
      </c>
      <c r="B13" s="18" t="s">
        <v>79</v>
      </c>
    </row>
    <row r="14" spans="1:2" x14ac:dyDescent="0.35">
      <c r="A14" s="17" t="s">
        <v>7</v>
      </c>
      <c r="B14" s="18" t="s">
        <v>78</v>
      </c>
    </row>
    <row r="15" spans="1:2" x14ac:dyDescent="0.35">
      <c r="A15" s="17"/>
      <c r="B15" s="18"/>
    </row>
    <row r="16" spans="1:2" ht="17.5" thickBot="1" x14ac:dyDescent="0.4">
      <c r="A16" s="29" t="s">
        <v>63</v>
      </c>
      <c r="B16" s="30" t="s">
        <v>62</v>
      </c>
    </row>
    <row r="17" spans="1:2" ht="29.5" thickTop="1" x14ac:dyDescent="0.35">
      <c r="A17" s="17" t="s">
        <v>64</v>
      </c>
      <c r="B17" s="18" t="s">
        <v>66</v>
      </c>
    </row>
    <row r="18" spans="1:2" ht="58" x14ac:dyDescent="0.35">
      <c r="A18" s="17" t="s">
        <v>67</v>
      </c>
      <c r="B18" s="18" t="s">
        <v>68</v>
      </c>
    </row>
    <row r="19" spans="1:2" ht="130.5" x14ac:dyDescent="0.35">
      <c r="A19" s="17" t="s">
        <v>65</v>
      </c>
      <c r="B19" s="31" t="s">
        <v>83</v>
      </c>
    </row>
    <row r="20" spans="1:2" ht="58" x14ac:dyDescent="0.35">
      <c r="A20" s="17" t="s">
        <v>74</v>
      </c>
      <c r="B20" s="18" t="s">
        <v>75</v>
      </c>
    </row>
    <row r="21" spans="1:2" x14ac:dyDescent="0.35">
      <c r="A21" s="17"/>
      <c r="B21" s="31"/>
    </row>
    <row r="22" spans="1:2" x14ac:dyDescent="0.35">
      <c r="A22" s="17"/>
      <c r="B22" s="17"/>
    </row>
    <row r="23" spans="1:2" x14ac:dyDescent="0.35">
      <c r="A23" s="17"/>
      <c r="B23" s="17"/>
    </row>
  </sheetData>
  <sheetProtection sheet="1" objects="1" scenarios="1"/>
  <mergeCells count="1">
    <mergeCell ref="A2:B2"/>
  </mergeCells>
  <pageMargins left="0.7" right="0.7" top="0.75" bottom="0.75" header="0.3" footer="0.3"/>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LCC</vt:lpstr>
      <vt:lpstr>byte cirkulationspump</vt:lpstr>
      <vt:lpstr>Förklaringar</vt:lpstr>
      <vt:lpstr>'byte cirkulationspump'!Utskriftsområde</vt:lpstr>
      <vt:lpstr>LCC!Utskriftsområde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Elin Svensson</dc:creator>
  <cp:lastModifiedBy>Suzanne Durkfelt</cp:lastModifiedBy>
  <cp:lastPrinted>2017-08-24T06:32:42Z</cp:lastPrinted>
  <dcterms:created xsi:type="dcterms:W3CDTF">2017-02-27T10:12:36Z</dcterms:created>
  <dcterms:modified xsi:type="dcterms:W3CDTF">2020-11-10T08:06:15Z</dcterms:modified>
</cp:coreProperties>
</file>