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_climates">'Sheet1'!$N$84:$N$87</definedName>
    <definedName name="__types">'Sheet1'!$T$84:$T$85</definedName>
    <definedName name="__uses">'Sheet1'!$R$84:$R$85</definedName>
    <definedName name="binlimit">'Sheet1'!$D$25</definedName>
    <definedName name="CC">'Sheet1'!$N$93</definedName>
    <definedName name="Cd">'Sheet1'!$D$22</definedName>
    <definedName name="CdA_tp">'Sheet1'!$V$39:$V$66</definedName>
    <definedName name="CdC_tp">'Sheet1'!$BU$39:$BU$78</definedName>
    <definedName name="CdW_tp">'Sheet1'!$AU$39:$AU$54</definedName>
    <definedName name="COP1">'Sheet1'!$E$20</definedName>
    <definedName name="COP2">'Sheet1'!$E$19</definedName>
    <definedName name="COP3">'Sheet1'!$E$18</definedName>
    <definedName name="COP4">'Sheet1'!$E$17</definedName>
    <definedName name="COP5">'Sheet1'!$E$16</definedName>
    <definedName name="COPA_tp">'Sheet1'!$U$39:$U$66</definedName>
    <definedName name="COPC_tp">'Sheet1'!$BT$39:$BT$78</definedName>
    <definedName name="COPW_tp">'Sheet1'!$AT$39:$AT$54</definedName>
    <definedName name="Ctim">'Sheet1'!#REF!</definedName>
    <definedName name="fracA_tp">'Sheet1'!$Q$40:$Q$66</definedName>
    <definedName name="fracC_tp">'Sheet1'!$BP$39:$BP$78</definedName>
    <definedName name="fracW_tp">'Sheet1'!$AP$39:$AP$54</definedName>
    <definedName name="GWP">'Sheet1'!$G$29</definedName>
    <definedName name="heatloads">'Sheet1'!$N$72:$V$72</definedName>
    <definedName name="heatonly">'Sheet1'!$R$88</definedName>
    <definedName name="HP">'Sheet1'!$P$84</definedName>
    <definedName name="hphrsA_tp">'Sheet1'!$E$39:$E$66</definedName>
    <definedName name="hphrsC_tp">'Sheet1'!$BD$39:$BD$78</definedName>
    <definedName name="hphrsW_tp">'Sheet1'!$AD$39:$AD$54</definedName>
    <definedName name="HPtd">'Sheet1'!$D$24</definedName>
    <definedName name="hrA_tp">'Sheet1'!$R$39:$R$66</definedName>
    <definedName name="hrC_tp">'Sheet1'!$BQ$39:$BQ$78</definedName>
    <definedName name="hrW_tp">'Sheet1'!$AQ$39:$AQ$54</definedName>
    <definedName name="Lh">'Sheet1'!$D$9</definedName>
    <definedName name="LhC">'Sheet1'!$F$9</definedName>
    <definedName name="LhpA_tp">'Sheet1'!$C$39:$C$66</definedName>
    <definedName name="LhpC_tp">'Sheet1'!$BB$39:$BB$78</definedName>
    <definedName name="LhpW_tp">'Sheet1'!$AB$39:$AB$54</definedName>
    <definedName name="LhsysA_tp">'Sheet1'!$P$39:$P$66</definedName>
    <definedName name="LhsysC_tp">'Sheet1'!$BO$39:$BO$78</definedName>
    <definedName name="LhsysW_tp">'Sheet1'!$AO$39:$AO$54</definedName>
    <definedName name="LhW">'Sheet1'!$E$9</definedName>
    <definedName name="mass">'Sheet1'!$G$30</definedName>
    <definedName name="Php1">'Sheet1'!$D$20</definedName>
    <definedName name="Php2">'Sheet1'!$D$19</definedName>
    <definedName name="Php3">'Sheet1'!$D$18</definedName>
    <definedName name="Php4">'Sheet1'!$D$17</definedName>
    <definedName name="Php5">'Sheet1'!$D$16</definedName>
    <definedName name="PmaxhpA_tp">'Sheet1'!$H$39:$H$66</definedName>
    <definedName name="PmaxhpC_tp">'Sheet1'!$BG$39:$BG$78</definedName>
    <definedName name="PmaxhpW_tp">'Sheet1'!$AG$39:$AG$54</definedName>
    <definedName name="PouthpA_tp">'Sheet1'!$D$39:$D$66</definedName>
    <definedName name="PouthpC_tp">'Sheet1'!$BC$39:$BC$78</definedName>
    <definedName name="PouthpW_tp">'Sheet1'!$AC$39:$AC$54</definedName>
    <definedName name="PoutmaxhpA_tp">'Sheet1'!$F$39:$F$66</definedName>
    <definedName name="PoutmaxhpC_tp">'Sheet1'!$BE$39:$BE$78</definedName>
    <definedName name="PoutmaxhpW_tp">'Sheet1'!$AE$39:$AE$54</definedName>
    <definedName name="Pradnom">'[1]GUI'!$F$9</definedName>
    <definedName name="PrhA_tp">'Sheet1'!#REF!</definedName>
    <definedName name="PrhC_tp">'Sheet1'!$BT$39:$BT$78</definedName>
    <definedName name="PrhW_tp">'Sheet1'!$AT$39:$AT$54</definedName>
    <definedName name="_xlnm.Print_Area" localSheetId="0">'Sheet1'!$A$1:$O$113</definedName>
    <definedName name="PrsA_tp">'Sheet1'!$O$39:$O$66</definedName>
    <definedName name="PrsC_tp">'Sheet1'!$BN$39:$BN$78</definedName>
    <definedName name="PrsW_tp">'Sheet1'!$AN$39:$AN$54</definedName>
    <definedName name="QhpA_tp">'Sheet1'!$T$39:$T$66</definedName>
    <definedName name="QhpW_tp">'Sheet1'!$AS$39:$AS$54</definedName>
    <definedName name="resA_tp">'Sheet1'!$W$39:$W$66</definedName>
    <definedName name="resC_tp">'Sheet1'!$BV$39:$BV$78</definedName>
    <definedName name="resW_tp">'Sheet1'!$AV$39:$AV$54</definedName>
    <definedName name="split">'Sheet1'!$T$88</definedName>
    <definedName name="ToutA_tp">'Sheet1'!$B$39:$B$66</definedName>
    <definedName name="ToutC_tp">'Sheet1'!$BA$39:$BA$78</definedName>
    <definedName name="ToutW_tp">'Sheet1'!$AA$39:$AA$54</definedName>
    <definedName name="tst1">'Sheet1'!$B$20</definedName>
    <definedName name="tst2">'Sheet1'!$B$19</definedName>
    <definedName name="tst3">'Sheet1'!$B$18</definedName>
    <definedName name="tst4">'Sheet1'!$B$17</definedName>
    <definedName name="tst5">'Sheet1'!$B$16</definedName>
    <definedName name="w1A_tp">'Sheet1'!$K$39:$K$66</definedName>
    <definedName name="w1C_tp">'Sheet1'!$BI$39:$BI$78</definedName>
    <definedName name="w1W_tp">'Sheet1'!$AI$39:$AI$54</definedName>
    <definedName name="w2A_tp">'Sheet1'!$L$39:$L$66</definedName>
    <definedName name="w2C_tp">'Sheet1'!$BJ$39:$BJ$78</definedName>
    <definedName name="w2W_tp">'Sheet1'!$AJ$39:$AJ$54</definedName>
    <definedName name="w3A_tp">'Sheet1'!$M$39:$M$66</definedName>
    <definedName name="w3C_tp">'Sheet1'!$BK$39:$BK$78</definedName>
    <definedName name="w3W_tp">'Sheet1'!$AK$39:$AK$54</definedName>
    <definedName name="w4A_tp">'Sheet1'!$N$39:$N$66</definedName>
    <definedName name="w4C_tp">'Sheet1'!$BL$39:$BL$78</definedName>
    <definedName name="w4W_tp">'Sheet1'!$AL$39:$AL$54</definedName>
    <definedName name="w5C_tp">'Sheet1'!$BM$39:$BM$78</definedName>
    <definedName name="WC">'Sheet1'!$N$90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O20" authorId="0">
      <text>
        <r>
          <rPr>
            <sz val="8"/>
            <rFont val="Tahoma"/>
            <family val="0"/>
          </rPr>
          <t xml:space="preserve">class limits SCOP
</t>
        </r>
      </text>
    </comment>
  </commentList>
</comments>
</file>

<file path=xl/sharedStrings.xml><?xml version="1.0" encoding="utf-8"?>
<sst xmlns="http://schemas.openxmlformats.org/spreadsheetml/2006/main" count="291" uniqueCount="155">
  <si>
    <t>Average climate  (add the letter 'A' after each parameter name when used separately)</t>
  </si>
  <si>
    <t>Warmer climate  (add the letter 'W' after each parameter name when used separately)</t>
  </si>
  <si>
    <t>Colder climate  (add the letter 'C' after each parameter name when used separately)</t>
  </si>
  <si>
    <t>HP</t>
  </si>
  <si>
    <t>tst</t>
  </si>
  <si>
    <t>Tout</t>
  </si>
  <si>
    <t>Lhp_tp</t>
  </si>
  <si>
    <t>Pouthp_tp</t>
  </si>
  <si>
    <t>hphrs_tp</t>
  </si>
  <si>
    <t>Poutmaxhp_tp</t>
  </si>
  <si>
    <t>binlimit_tp</t>
  </si>
  <si>
    <t>Pmaxhp_tp</t>
  </si>
  <si>
    <t>Php</t>
  </si>
  <si>
    <t>Prs_tp</t>
  </si>
  <si>
    <t>Lhsys_tp</t>
  </si>
  <si>
    <t xml:space="preserve">frac_tp </t>
  </si>
  <si>
    <t>hr_tp</t>
  </si>
  <si>
    <t>oC</t>
  </si>
  <si>
    <t>kWh/a</t>
  </si>
  <si>
    <t>kW</t>
  </si>
  <si>
    <t>h</t>
  </si>
  <si>
    <t>Y/N (1/0)</t>
  </si>
  <si>
    <t>w1_tp</t>
  </si>
  <si>
    <t>w2_tp</t>
  </si>
  <si>
    <t>w3_tp</t>
  </si>
  <si>
    <t>w4_tp</t>
  </si>
  <si>
    <t xml:space="preserve"> </t>
  </si>
  <si>
    <t>hphrsW</t>
  </si>
  <si>
    <t>hphrsC</t>
  </si>
  <si>
    <t>bin</t>
  </si>
  <si>
    <t>hours</t>
  </si>
  <si>
    <t>Php4/ COP4</t>
  </si>
  <si>
    <t>Php3/ COP3</t>
  </si>
  <si>
    <t>Php2/ COP2</t>
  </si>
  <si>
    <t>Php1/ COP1</t>
  </si>
  <si>
    <t>Qhp_tp</t>
  </si>
  <si>
    <t>COP_tp</t>
  </si>
  <si>
    <t>Cd_tp</t>
  </si>
  <si>
    <t>HPtd</t>
  </si>
  <si>
    <t>binlimit</t>
  </si>
  <si>
    <t>COPon</t>
  </si>
  <si>
    <t>res</t>
  </si>
  <si>
    <t>from table</t>
  </si>
  <si>
    <t>efficiency calc</t>
  </si>
  <si>
    <t>TABLE</t>
  </si>
  <si>
    <t>load fractions (total=100%)</t>
  </si>
  <si>
    <t>COP</t>
  </si>
  <si>
    <t>Tsrc in oC</t>
  </si>
  <si>
    <t>% vs A</t>
  </si>
  <si>
    <t>C</t>
  </si>
  <si>
    <t>W</t>
  </si>
  <si>
    <t>A</t>
  </si>
  <si>
    <t>SCOPon</t>
  </si>
  <si>
    <t>Php5/ COP5</t>
  </si>
  <si>
    <t>Pmax in kW</t>
  </si>
  <si>
    <t>SCOP</t>
  </si>
  <si>
    <t>RES in kWh/a</t>
  </si>
  <si>
    <t>Qin in kWh/a</t>
  </si>
  <si>
    <t>Annual heat demand</t>
  </si>
  <si>
    <t>supplementary heating</t>
  </si>
  <si>
    <t>heat pump operation</t>
  </si>
  <si>
    <t>E</t>
  </si>
  <si>
    <t>Testpoints</t>
  </si>
  <si>
    <t>B</t>
  </si>
  <si>
    <t>D</t>
  </si>
  <si>
    <t>names</t>
  </si>
  <si>
    <t>minimum outdoor temperature</t>
  </si>
  <si>
    <t xml:space="preserve">thermostat off mode </t>
  </si>
  <si>
    <t>off mode</t>
  </si>
  <si>
    <r>
      <t xml:space="preserve">Table 5. Time periods in hrs./heating season for each mode for heating only and cooling&amp;heating appliances </t>
    </r>
    <r>
      <rPr>
        <i/>
        <sz val="9"/>
        <rFont val="Arial"/>
        <family val="2"/>
      </rPr>
      <t>(Ecoaircon, Task 7, pp. 51)</t>
    </r>
  </si>
  <si>
    <t>Heating Only</t>
  </si>
  <si>
    <t>Cooling and Heating</t>
  </si>
  <si>
    <r>
      <t>H</t>
    </r>
    <r>
      <rPr>
        <b/>
        <i/>
        <vertAlign val="subscript"/>
        <sz val="12"/>
        <rFont val="Times New Roman"/>
        <family val="1"/>
      </rPr>
      <t>TO</t>
    </r>
  </si>
  <si>
    <r>
      <t>H</t>
    </r>
    <r>
      <rPr>
        <b/>
        <i/>
        <vertAlign val="subscript"/>
        <sz val="12"/>
        <rFont val="Times New Roman"/>
        <family val="1"/>
      </rPr>
      <t>CK</t>
    </r>
  </si>
  <si>
    <r>
      <t>H</t>
    </r>
    <r>
      <rPr>
        <b/>
        <i/>
        <vertAlign val="subscript"/>
        <sz val="12"/>
        <rFont val="Times New Roman"/>
        <family val="1"/>
      </rPr>
      <t>OFF</t>
    </r>
  </si>
  <si>
    <t>Table 3. Space heating profiles* with their lower output power limits in kW</t>
  </si>
  <si>
    <r>
      <t>H</t>
    </r>
    <r>
      <rPr>
        <b/>
        <i/>
        <vertAlign val="subscript"/>
        <sz val="12"/>
        <rFont val="Times New Roman"/>
        <family val="1"/>
      </rPr>
      <t>HE</t>
    </r>
  </si>
  <si>
    <t>climate</t>
  </si>
  <si>
    <t>turndown ratio heating</t>
  </si>
  <si>
    <t>Average</t>
  </si>
  <si>
    <t>Warmer</t>
  </si>
  <si>
    <t>Colder</t>
  </si>
  <si>
    <t>(Colder climate only)</t>
  </si>
  <si>
    <t>1-  4XS</t>
  </si>
  <si>
    <t>2-  3XS</t>
  </si>
  <si>
    <t>3-  XXS</t>
  </si>
  <si>
    <t>4-  XS</t>
  </si>
  <si>
    <t>5-  S</t>
  </si>
  <si>
    <t>6-  M</t>
  </si>
  <si>
    <t>7-  L</t>
  </si>
  <si>
    <t>8-  XL</t>
  </si>
  <si>
    <t>9- XXL</t>
  </si>
  <si>
    <t>Lh in kWh/a</t>
  </si>
  <si>
    <t>Definitions</t>
  </si>
  <si>
    <t>-------&gt;</t>
  </si>
  <si>
    <t>1- A/W/C</t>
  </si>
  <si>
    <t>2- A/W</t>
  </si>
  <si>
    <t>3- A/C</t>
  </si>
  <si>
    <t>4- A</t>
  </si>
  <si>
    <t>A=Average</t>
  </si>
  <si>
    <t>W=Warmer</t>
  </si>
  <si>
    <t>C=Colder</t>
  </si>
  <si>
    <t>__climates</t>
  </si>
  <si>
    <t>P_TO in kW</t>
  </si>
  <si>
    <t>P_CK in kW</t>
  </si>
  <si>
    <t>P_OFF in kW</t>
  </si>
  <si>
    <t>crankcase heater mode</t>
  </si>
  <si>
    <r>
      <t xml:space="preserve">Pdesign </t>
    </r>
    <r>
      <rPr>
        <sz val="8"/>
        <rFont val="Arial"/>
        <family val="2"/>
      </rPr>
      <t>kW</t>
    </r>
  </si>
  <si>
    <r>
      <t xml:space="preserve">Select load profile </t>
    </r>
    <r>
      <rPr>
        <sz val="8"/>
        <rFont val="Arial"/>
        <family val="2"/>
      </rPr>
      <t>(click cell)</t>
    </r>
  </si>
  <si>
    <r>
      <t xml:space="preserve">Select designated climate(s) </t>
    </r>
    <r>
      <rPr>
        <sz val="8"/>
        <rFont val="Arial"/>
        <family val="2"/>
      </rPr>
      <t>(click cell)</t>
    </r>
  </si>
  <si>
    <t>outputs</t>
  </si>
  <si>
    <t>Cd  (per kW)</t>
  </si>
  <si>
    <t>degradation factor</t>
  </si>
  <si>
    <t xml:space="preserve"> (relates to cycling, see WD)</t>
  </si>
  <si>
    <t xml:space="preserve"> (lowest steady state/max power)</t>
  </si>
  <si>
    <t>of which</t>
  </si>
  <si>
    <t>annual el. consumption</t>
  </si>
  <si>
    <t>seasonal COP in on mode</t>
  </si>
  <si>
    <t>seasonal COP</t>
  </si>
  <si>
    <t>in/decrease in W/C climate</t>
  </si>
  <si>
    <r>
      <t>Q</t>
    </r>
    <r>
      <rPr>
        <sz val="8"/>
        <rFont val="Arial"/>
        <family val="2"/>
      </rPr>
      <t xml:space="preserve"> in kWh/a</t>
    </r>
  </si>
  <si>
    <t>auxiliary energy</t>
  </si>
  <si>
    <t>__uses</t>
  </si>
  <si>
    <t>2- heat only</t>
  </si>
  <si>
    <t>heatonly</t>
  </si>
  <si>
    <t>1- heat+cool</t>
  </si>
  <si>
    <t>1- split</t>
  </si>
  <si>
    <t>2- multi-split</t>
  </si>
  <si>
    <t>__types</t>
  </si>
  <si>
    <r>
      <t>Function</t>
    </r>
    <r>
      <rPr>
        <sz val="8"/>
        <rFont val="Arial"/>
        <family val="2"/>
      </rPr>
      <t xml:space="preserve"> (heat only/heat+cool) (click cell)</t>
    </r>
  </si>
  <si>
    <r>
      <t>Type</t>
    </r>
    <r>
      <rPr>
        <sz val="8"/>
        <rFont val="Arial"/>
        <family val="2"/>
      </rPr>
      <t xml:space="preserve"> (split/multi-split) (click cell)</t>
    </r>
  </si>
  <si>
    <t>WC (warmer climate)</t>
  </si>
  <si>
    <t>CC (colder climate)</t>
  </si>
  <si>
    <t>split</t>
  </si>
  <si>
    <t>annual carbon emission</t>
  </si>
  <si>
    <r>
      <t xml:space="preserve">C </t>
    </r>
    <r>
      <rPr>
        <sz val="8"/>
        <rFont val="Arial"/>
        <family val="2"/>
      </rPr>
      <t>in kg/a</t>
    </r>
  </si>
  <si>
    <r>
      <t xml:space="preserve">OUTPUT </t>
    </r>
    <r>
      <rPr>
        <i/>
        <sz val="10"/>
        <rFont val="Arial"/>
        <family val="2"/>
      </rPr>
      <t>(yellow cells on label)</t>
    </r>
  </si>
  <si>
    <r>
      <t xml:space="preserve">INPUT  </t>
    </r>
    <r>
      <rPr>
        <i/>
        <sz val="10"/>
        <rFont val="Arial"/>
        <family val="2"/>
      </rPr>
      <t>(fill in green cells)</t>
    </r>
  </si>
  <si>
    <t>&lt;&lt;</t>
  </si>
  <si>
    <t>refrigerant</t>
  </si>
  <si>
    <t xml:space="preserve">Other </t>
  </si>
  <si>
    <t>Noise in dBA</t>
  </si>
  <si>
    <t>Power (Pdesign)  in kW</t>
  </si>
  <si>
    <t>(input from test)</t>
  </si>
  <si>
    <t>MODEL and TABLES (unhide rows to show)</t>
  </si>
  <si>
    <t>w5_tp</t>
  </si>
  <si>
    <t>Load profile</t>
  </si>
  <si>
    <t>label class</t>
  </si>
  <si>
    <t>ROOM AIR CONDITIONERS - HEATING MODE - Commission Working Document - May 2009</t>
  </si>
  <si>
    <t>MEPS 2014: SCOP 3,5</t>
  </si>
  <si>
    <t>MEPS 2012: SCOP 3,2</t>
  </si>
  <si>
    <t>INPUTS F-Gas Directive</t>
  </si>
  <si>
    <r>
      <t>GWP</t>
    </r>
    <r>
      <rPr>
        <sz val="7.5"/>
        <rFont val="Arial"/>
        <family val="2"/>
      </rPr>
      <t xml:space="preserve"> in kg/kg</t>
    </r>
  </si>
  <si>
    <r>
      <t>mass</t>
    </r>
    <r>
      <rPr>
        <sz val="7.5"/>
        <rFont val="Arial"/>
        <family val="2"/>
      </rPr>
      <t xml:space="preserve"> in kg</t>
    </r>
  </si>
  <si>
    <t>Tests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</si>
</sst>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sz val="6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>
      <alignment/>
      <protection/>
    </xf>
    <xf numFmtId="0" fontId="0" fillId="0" borderId="0" xfId="19" applyAlignment="1">
      <alignment/>
      <protection/>
    </xf>
    <xf numFmtId="0" fontId="1" fillId="0" borderId="0" xfId="19" applyFont="1">
      <alignment/>
      <protection/>
    </xf>
    <xf numFmtId="0" fontId="2" fillId="0" borderId="0" xfId="19" applyFont="1" applyAlignment="1">
      <alignment/>
      <protection/>
    </xf>
    <xf numFmtId="0" fontId="0" fillId="0" borderId="0" xfId="19" applyBorder="1">
      <alignment/>
      <protection/>
    </xf>
    <xf numFmtId="0" fontId="3" fillId="0" borderId="0" xfId="19" applyFont="1" applyAlignment="1">
      <alignment horizontal="right"/>
      <protection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/>
      <protection/>
    </xf>
    <xf numFmtId="0" fontId="4" fillId="0" borderId="1" xfId="19" applyFont="1" applyBorder="1" applyAlignment="1">
      <alignment horizontal="right"/>
      <protection/>
    </xf>
    <xf numFmtId="0" fontId="0" fillId="0" borderId="0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/>
      <protection/>
    </xf>
    <xf numFmtId="0" fontId="4" fillId="0" borderId="2" xfId="19" applyFont="1" applyBorder="1" applyAlignment="1">
      <alignment horizontal="right"/>
      <protection/>
    </xf>
    <xf numFmtId="0" fontId="4" fillId="0" borderId="1" xfId="19" applyFont="1" applyBorder="1" applyAlignment="1">
      <alignment horizontal="right"/>
      <protection/>
    </xf>
    <xf numFmtId="0" fontId="5" fillId="0" borderId="1" xfId="19" applyFont="1" applyBorder="1" applyAlignment="1">
      <alignment horizontal="right"/>
      <protection/>
    </xf>
    <xf numFmtId="0" fontId="6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1" fontId="4" fillId="0" borderId="3" xfId="19" applyNumberFormat="1" applyFont="1" applyBorder="1">
      <alignment/>
      <protection/>
    </xf>
    <xf numFmtId="2" fontId="4" fillId="0" borderId="3" xfId="19" applyNumberFormat="1" applyFont="1" applyBorder="1">
      <alignment/>
      <protection/>
    </xf>
    <xf numFmtId="2" fontId="4" fillId="0" borderId="3" xfId="19" applyNumberFormat="1" applyFont="1" applyBorder="1" applyAlignment="1">
      <alignment/>
      <protection/>
    </xf>
    <xf numFmtId="0" fontId="4" fillId="0" borderId="3" xfId="19" applyFont="1" applyBorder="1" applyAlignment="1">
      <alignment/>
      <protection/>
    </xf>
    <xf numFmtId="2" fontId="4" fillId="0" borderId="0" xfId="19" applyNumberFormat="1" applyFont="1" applyFill="1" applyBorder="1">
      <alignment/>
      <protection/>
    </xf>
    <xf numFmtId="2" fontId="4" fillId="0" borderId="4" xfId="19" applyNumberFormat="1" applyFont="1" applyBorder="1">
      <alignment/>
      <protection/>
    </xf>
    <xf numFmtId="1" fontId="4" fillId="0" borderId="3" xfId="19" applyNumberFormat="1" applyFont="1" applyBorder="1" applyAlignment="1">
      <alignment/>
      <protection/>
    </xf>
    <xf numFmtId="164" fontId="7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>
      <alignment/>
      <protection/>
    </xf>
    <xf numFmtId="0" fontId="4" fillId="0" borderId="5" xfId="19" applyFont="1" applyBorder="1" applyAlignment="1">
      <alignment horizontal="center"/>
      <protection/>
    </xf>
    <xf numFmtId="9" fontId="0" fillId="0" borderId="0" xfId="19" applyNumberFormat="1">
      <alignment/>
      <protection/>
    </xf>
    <xf numFmtId="1" fontId="4" fillId="0" borderId="0" xfId="19" applyNumberFormat="1" applyFont="1">
      <alignment/>
      <protection/>
    </xf>
    <xf numFmtId="2" fontId="4" fillId="0" borderId="0" xfId="19" applyNumberFormat="1" applyFont="1">
      <alignment/>
      <protection/>
    </xf>
    <xf numFmtId="0" fontId="4" fillId="0" borderId="0" xfId="19" applyFont="1" applyAlignment="1">
      <alignment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>
      <alignment/>
      <protection/>
    </xf>
    <xf numFmtId="1" fontId="4" fillId="0" borderId="0" xfId="19" applyNumberFormat="1" applyFont="1" applyAlignment="1">
      <alignment/>
      <protection/>
    </xf>
    <xf numFmtId="0" fontId="4" fillId="0" borderId="6" xfId="19" applyFont="1" applyBorder="1" applyAlignment="1">
      <alignment horizontal="center"/>
      <protection/>
    </xf>
    <xf numFmtId="2" fontId="8" fillId="0" borderId="0" xfId="19" applyNumberFormat="1" applyFont="1" applyFill="1" applyBorder="1">
      <alignment/>
      <protection/>
    </xf>
    <xf numFmtId="1" fontId="0" fillId="0" borderId="0" xfId="19" applyNumberFormat="1">
      <alignment/>
      <protection/>
    </xf>
    <xf numFmtId="1" fontId="9" fillId="0" borderId="0" xfId="19" applyNumberFormat="1" applyFont="1" applyAlignment="1">
      <alignment horizontal="left"/>
      <protection/>
    </xf>
    <xf numFmtId="2" fontId="4" fillId="0" borderId="0" xfId="19" applyNumberFormat="1" applyFont="1" applyFill="1" applyBorder="1" applyAlignment="1">
      <alignment/>
      <protection/>
    </xf>
    <xf numFmtId="1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0" fontId="4" fillId="0" borderId="8" xfId="19" applyFont="1" applyBorder="1" applyAlignment="1">
      <alignment/>
      <protection/>
    </xf>
    <xf numFmtId="2" fontId="4" fillId="0" borderId="8" xfId="19" applyNumberFormat="1" applyFont="1" applyBorder="1" applyAlignment="1">
      <alignment/>
      <protection/>
    </xf>
    <xf numFmtId="1" fontId="4" fillId="0" borderId="8" xfId="19" applyNumberFormat="1" applyFont="1" applyBorder="1" applyAlignment="1">
      <alignment/>
      <protection/>
    </xf>
    <xf numFmtId="1" fontId="4" fillId="0" borderId="8" xfId="19" applyNumberFormat="1" applyFont="1" applyBorder="1">
      <alignment/>
      <protection/>
    </xf>
    <xf numFmtId="0" fontId="10" fillId="0" borderId="0" xfId="19" applyFont="1">
      <alignment/>
      <protection/>
    </xf>
    <xf numFmtId="2" fontId="0" fillId="0" borderId="0" xfId="19" applyNumberFormat="1">
      <alignment/>
      <protection/>
    </xf>
    <xf numFmtId="1" fontId="4" fillId="0" borderId="0" xfId="19" applyNumberFormat="1" applyFont="1" applyBorder="1">
      <alignment/>
      <protection/>
    </xf>
    <xf numFmtId="164" fontId="7" fillId="0" borderId="0" xfId="19" applyNumberFormat="1" applyFont="1" applyBorder="1">
      <alignment/>
      <protection/>
    </xf>
    <xf numFmtId="0" fontId="12" fillId="2" borderId="0" xfId="0" applyFont="1" applyFill="1" applyBorder="1" applyAlignment="1">
      <alignment vertical="center"/>
    </xf>
    <xf numFmtId="0" fontId="4" fillId="0" borderId="0" xfId="19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2" fontId="4" fillId="0" borderId="0" xfId="19" applyNumberFormat="1" applyFont="1" applyAlignment="1">
      <alignment horizontal="right"/>
      <protection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0" xfId="19" applyFont="1" applyBorder="1">
      <alignment/>
      <protection/>
    </xf>
    <xf numFmtId="0" fontId="0" fillId="0" borderId="0" xfId="0" applyBorder="1" applyAlignment="1">
      <alignment/>
    </xf>
    <xf numFmtId="164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14" fillId="0" borderId="0" xfId="19" applyFont="1">
      <alignment/>
      <protection/>
    </xf>
    <xf numFmtId="0" fontId="10" fillId="0" borderId="0" xfId="0" applyFont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0" fillId="3" borderId="9" xfId="19" applyFill="1" applyBorder="1">
      <alignment/>
      <protection/>
    </xf>
    <xf numFmtId="0" fontId="0" fillId="3" borderId="10" xfId="19" applyFill="1" applyBorder="1">
      <alignment/>
      <protection/>
    </xf>
    <xf numFmtId="1" fontId="0" fillId="3" borderId="10" xfId="19" applyNumberFormat="1" applyFill="1" applyBorder="1">
      <alignment/>
      <protection/>
    </xf>
    <xf numFmtId="0" fontId="11" fillId="3" borderId="10" xfId="19" applyFont="1" applyFill="1" applyBorder="1" quotePrefix="1">
      <alignment/>
      <protection/>
    </xf>
    <xf numFmtId="0" fontId="0" fillId="3" borderId="11" xfId="19" applyFill="1" applyBorder="1">
      <alignment/>
      <protection/>
    </xf>
    <xf numFmtId="0" fontId="0" fillId="3" borderId="12" xfId="19" applyFill="1" applyBorder="1">
      <alignment/>
      <protection/>
    </xf>
    <xf numFmtId="0" fontId="0" fillId="3" borderId="0" xfId="19" applyFill="1" applyBorder="1">
      <alignment/>
      <protection/>
    </xf>
    <xf numFmtId="0" fontId="0" fillId="3" borderId="13" xfId="19" applyFill="1" applyBorder="1">
      <alignment/>
      <protection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12" xfId="19" applyNumberFormat="1" applyFill="1" applyBorder="1">
      <alignment/>
      <protection/>
    </xf>
    <xf numFmtId="0" fontId="13" fillId="3" borderId="1" xfId="19" applyFont="1" applyFill="1" applyBorder="1" applyAlignment="1">
      <alignment horizontal="center"/>
      <protection/>
    </xf>
    <xf numFmtId="0" fontId="13" fillId="3" borderId="0" xfId="19" applyFont="1" applyFill="1" applyBorder="1" applyAlignment="1">
      <alignment horizontal="right"/>
      <protection/>
    </xf>
    <xf numFmtId="0" fontId="13" fillId="3" borderId="1" xfId="19" applyFont="1" applyFill="1" applyBorder="1" applyAlignment="1">
      <alignment horizontal="right"/>
      <protection/>
    </xf>
    <xf numFmtId="0" fontId="13" fillId="3" borderId="0" xfId="19" applyFont="1" applyFill="1" applyBorder="1">
      <alignment/>
      <protection/>
    </xf>
    <xf numFmtId="164" fontId="13" fillId="3" borderId="0" xfId="19" applyNumberFormat="1" applyFont="1" applyFill="1" applyBorder="1" applyAlignment="1">
      <alignment horizontal="right"/>
      <protection/>
    </xf>
    <xf numFmtId="164" fontId="13" fillId="3" borderId="1" xfId="19" applyNumberFormat="1" applyFont="1" applyFill="1" applyBorder="1" applyAlignment="1">
      <alignment horizontal="right"/>
      <protection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164" fontId="13" fillId="3" borderId="14" xfId="19" applyNumberFormat="1" applyFont="1" applyFill="1" applyBorder="1" applyAlignment="1">
      <alignment horizontal="right"/>
      <protection/>
    </xf>
    <xf numFmtId="164" fontId="13" fillId="3" borderId="15" xfId="19" applyNumberFormat="1" applyFont="1" applyFill="1" applyBorder="1" applyAlignment="1">
      <alignment horizontal="right"/>
      <protection/>
    </xf>
    <xf numFmtId="164" fontId="13" fillId="3" borderId="16" xfId="19" applyNumberFormat="1" applyFont="1" applyFill="1" applyBorder="1" applyAlignment="1">
      <alignment horizontal="right"/>
      <protection/>
    </xf>
    <xf numFmtId="164" fontId="13" fillId="3" borderId="7" xfId="19" applyNumberFormat="1" applyFont="1" applyFill="1" applyBorder="1" applyAlignment="1">
      <alignment horizontal="right"/>
      <protection/>
    </xf>
    <xf numFmtId="164" fontId="13" fillId="3" borderId="17" xfId="19" applyNumberFormat="1" applyFont="1" applyFill="1" applyBorder="1" applyAlignment="1">
      <alignment horizontal="right"/>
      <protection/>
    </xf>
    <xf numFmtId="165" fontId="0" fillId="3" borderId="0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9" xfId="0" applyFill="1" applyBorder="1" applyAlignment="1">
      <alignment/>
    </xf>
    <xf numFmtId="0" fontId="10" fillId="3" borderId="10" xfId="19" applyFont="1" applyFill="1" applyBorder="1">
      <alignment/>
      <protection/>
    </xf>
    <xf numFmtId="0" fontId="4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2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" fillId="3" borderId="0" xfId="0" applyFont="1" applyFill="1" applyAlignment="1">
      <alignment wrapText="1"/>
    </xf>
    <xf numFmtId="0" fontId="18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3" fillId="3" borderId="1" xfId="0" applyFont="1" applyFill="1" applyBorder="1" applyAlignment="1">
      <alignment horizontal="center" wrapText="1"/>
    </xf>
    <xf numFmtId="0" fontId="1" fillId="3" borderId="1" xfId="19" applyFont="1" applyFill="1" applyBorder="1">
      <alignment/>
      <protection/>
    </xf>
    <xf numFmtId="0" fontId="20" fillId="3" borderId="1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14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 quotePrefix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19" applyFont="1" applyFill="1" applyAlignment="1">
      <alignment horizontal="center"/>
      <protection/>
    </xf>
    <xf numFmtId="0" fontId="23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7" fillId="4" borderId="1" xfId="0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10" fillId="3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10" fillId="13" borderId="1" xfId="0" applyFont="1" applyFill="1" applyBorder="1" applyAlignment="1">
      <alignment/>
    </xf>
    <xf numFmtId="0" fontId="10" fillId="5" borderId="1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28" fillId="2" borderId="0" xfId="0" applyFont="1" applyFill="1" applyAlignment="1">
      <alignment/>
    </xf>
    <xf numFmtId="0" fontId="4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16" xfId="0" applyFill="1" applyBorder="1" applyAlignment="1">
      <alignment/>
    </xf>
    <xf numFmtId="0" fontId="10" fillId="2" borderId="16" xfId="0" applyFont="1" applyFill="1" applyBorder="1" applyAlignment="1">
      <alignment/>
    </xf>
    <xf numFmtId="0" fontId="29" fillId="2" borderId="0" xfId="0" applyFont="1" applyFill="1" applyAlignment="1">
      <alignment/>
    </xf>
    <xf numFmtId="0" fontId="18" fillId="3" borderId="17" xfId="0" applyFont="1" applyFill="1" applyBorder="1" applyAlignment="1">
      <alignment wrapText="1"/>
    </xf>
    <xf numFmtId="0" fontId="18" fillId="3" borderId="15" xfId="0" applyFont="1" applyFill="1" applyBorder="1" applyAlignment="1">
      <alignment wrapText="1"/>
    </xf>
    <xf numFmtId="0" fontId="18" fillId="3" borderId="25" xfId="0" applyFont="1" applyFill="1" applyBorder="1" applyAlignment="1">
      <alignment wrapText="1"/>
    </xf>
    <xf numFmtId="0" fontId="18" fillId="3" borderId="17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18" fillId="3" borderId="25" xfId="0" applyFont="1" applyFill="1" applyBorder="1" applyAlignment="1">
      <alignment/>
    </xf>
    <xf numFmtId="0" fontId="13" fillId="3" borderId="17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coBoilerLex" xfId="19"/>
    <cellStyle name="Percent" xfId="20"/>
  </cellStyles>
  <dxfs count="13">
    <dxf>
      <font>
        <color rgb="FFFFFFFF"/>
      </font>
      <border/>
    </dxf>
    <dxf>
      <font>
        <color rgb="FF333399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8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80"/>
      </font>
      <fill>
        <patternFill>
          <bgColor rgb="FFFFFF99"/>
        </patternFill>
      </fill>
      <border/>
    </dxf>
    <dxf>
      <font>
        <b/>
        <i val="0"/>
        <color rgb="FF333399"/>
      </font>
      <fill>
        <patternFill patternType="solid"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b/>
        <i val="0"/>
        <color rgb="FF00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ill>
        <patternFill>
          <bgColor rgb="FF00000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18</xdr:row>
      <xdr:rowOff>38100</xdr:rowOff>
    </xdr:from>
    <xdr:to>
      <xdr:col>11</xdr:col>
      <xdr:colOff>542925</xdr:colOff>
      <xdr:row>20</xdr:row>
      <xdr:rowOff>0</xdr:rowOff>
    </xdr:to>
    <xdr:sp>
      <xdr:nvSpPr>
        <xdr:cNvPr id="1" name="AutoShape 5"/>
        <xdr:cNvSpPr>
          <a:spLocks/>
        </xdr:cNvSpPr>
      </xdr:nvSpPr>
      <xdr:spPr>
        <a:xfrm rot="5400000">
          <a:off x="7658100" y="2933700"/>
          <a:ext cx="323850" cy="285750"/>
        </a:xfrm>
        <a:prstGeom prst="bentUpArrow">
          <a:avLst>
            <a:gd name="adj" fmla="val -10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_EU_IM_EuP\Boilers%20&amp;%20WH\EcoboilerModel_03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Names2"/>
      <sheetName val="Names1"/>
      <sheetName val="Names"/>
      <sheetName val="Inputs"/>
      <sheetName val="GUI"/>
      <sheetName val="Model"/>
      <sheetName val="Table"/>
    </sheetNames>
    <sheetDataSet>
      <sheetData sheetId="5">
        <row r="9">
          <cell r="F9">
            <v>19.919999999999998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3"/>
  <sheetViews>
    <sheetView tabSelected="1" workbookViewId="0" topLeftCell="A1">
      <selection activeCell="D6" sqref="D6"/>
    </sheetView>
  </sheetViews>
  <sheetFormatPr defaultColWidth="9.140625" defaultRowHeight="12.75"/>
  <cols>
    <col min="2" max="2" width="12.57421875" style="0" customWidth="1"/>
    <col min="3" max="3" width="10.57421875" style="0" customWidth="1"/>
    <col min="4" max="4" width="10.7109375" style="0" customWidth="1"/>
    <col min="5" max="5" width="9.8515625" style="0" customWidth="1"/>
    <col min="6" max="6" width="11.421875" style="0" customWidth="1"/>
    <col min="8" max="8" width="6.140625" style="0" customWidth="1"/>
    <col min="9" max="10" width="10.8515625" style="0" customWidth="1"/>
    <col min="11" max="11" width="10.28125" style="0" customWidth="1"/>
    <col min="15" max="15" width="6.7109375" style="0" customWidth="1"/>
  </cols>
  <sheetData>
    <row r="1" spans="1:16" ht="12.75">
      <c r="A1" s="144" t="s">
        <v>148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9"/>
    </row>
    <row r="2" spans="1:19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42"/>
      <c r="Q2" s="114"/>
      <c r="R2" s="114"/>
      <c r="S2" s="114"/>
    </row>
    <row r="3" spans="1:16" s="63" customFormat="1" ht="12.75">
      <c r="A3" s="144" t="s">
        <v>137</v>
      </c>
      <c r="B3" s="111"/>
      <c r="C3" s="111"/>
      <c r="D3" s="111"/>
      <c r="E3" s="111"/>
      <c r="F3" s="111"/>
      <c r="G3" s="112"/>
      <c r="H3" s="111"/>
      <c r="I3" s="144" t="s">
        <v>136</v>
      </c>
      <c r="J3" s="111"/>
      <c r="K3" s="111"/>
      <c r="L3" s="111"/>
      <c r="M3" s="111"/>
      <c r="N3" s="111"/>
      <c r="O3" s="181"/>
      <c r="P3" s="181"/>
    </row>
    <row r="4" spans="1:16" s="63" customFormat="1" ht="11.25">
      <c r="A4" s="111"/>
      <c r="B4" s="111"/>
      <c r="C4" s="111"/>
      <c r="D4" s="111"/>
      <c r="E4" s="111"/>
      <c r="F4" s="111"/>
      <c r="G4" s="112"/>
      <c r="H4" s="111"/>
      <c r="I4" s="111"/>
      <c r="J4" s="111"/>
      <c r="K4" s="111"/>
      <c r="L4" s="111"/>
      <c r="M4" s="111"/>
      <c r="N4" s="111"/>
      <c r="O4" s="181"/>
      <c r="P4" s="181"/>
    </row>
    <row r="5" spans="1:16" s="63" customFormat="1" ht="12.75">
      <c r="A5" s="113" t="s">
        <v>93</v>
      </c>
      <c r="B5" s="111"/>
      <c r="C5" s="111"/>
      <c r="D5" s="111"/>
      <c r="E5" s="114"/>
      <c r="F5" s="111"/>
      <c r="G5" s="112"/>
      <c r="H5" s="111"/>
      <c r="I5" s="114"/>
      <c r="J5" s="114"/>
      <c r="K5" s="114"/>
      <c r="L5" s="120" t="s">
        <v>79</v>
      </c>
      <c r="M5" s="120" t="s">
        <v>80</v>
      </c>
      <c r="N5" s="120" t="s">
        <v>81</v>
      </c>
      <c r="O5" s="181"/>
      <c r="P5" s="181"/>
    </row>
    <row r="6" spans="1:16" s="63" customFormat="1" ht="12.75">
      <c r="A6" s="111" t="s">
        <v>108</v>
      </c>
      <c r="B6" s="115"/>
      <c r="C6" s="116"/>
      <c r="D6" s="95" t="s">
        <v>88</v>
      </c>
      <c r="E6" s="117" t="s">
        <v>94</v>
      </c>
      <c r="F6" s="111" t="s">
        <v>107</v>
      </c>
      <c r="G6" s="156">
        <f>HLOOKUP(VALUE(LEFT(D6,1)),N71:V73,3)</f>
        <v>5.7</v>
      </c>
      <c r="H6" s="111"/>
      <c r="I6" s="111" t="s">
        <v>116</v>
      </c>
      <c r="J6" s="114"/>
      <c r="K6" s="111" t="s">
        <v>120</v>
      </c>
      <c r="L6" s="131">
        <f>L8+L9+L10</f>
        <v>2436.6608224963115</v>
      </c>
      <c r="M6" s="139">
        <f>M8+M9+M10</f>
        <v>2067.0083959189883</v>
      </c>
      <c r="N6" s="139">
        <f>N8+N9+N10</f>
        <v>4752.24970416657</v>
      </c>
      <c r="O6" s="181" t="s">
        <v>18</v>
      </c>
      <c r="P6" s="181"/>
    </row>
    <row r="7" spans="1:16" s="63" customFormat="1" ht="12.75">
      <c r="A7" s="111" t="s">
        <v>109</v>
      </c>
      <c r="B7" s="115"/>
      <c r="C7" s="116"/>
      <c r="D7" s="135" t="s">
        <v>95</v>
      </c>
      <c r="E7" s="117"/>
      <c r="F7" s="111"/>
      <c r="G7" s="112"/>
      <c r="H7" s="111"/>
      <c r="I7" s="115" t="s">
        <v>115</v>
      </c>
      <c r="J7" s="115"/>
      <c r="K7" s="115"/>
      <c r="L7" s="138"/>
      <c r="M7" s="138"/>
      <c r="N7" s="138"/>
      <c r="O7" s="142"/>
      <c r="P7" s="181"/>
    </row>
    <row r="8" spans="1:19" s="63" customFormat="1" ht="12.75">
      <c r="A8" s="111" t="s">
        <v>58</v>
      </c>
      <c r="B8" s="111"/>
      <c r="C8" s="111"/>
      <c r="D8" s="116" t="s">
        <v>99</v>
      </c>
      <c r="E8" s="116" t="s">
        <v>100</v>
      </c>
      <c r="F8" s="116" t="s">
        <v>101</v>
      </c>
      <c r="G8" s="112"/>
      <c r="H8" s="111"/>
      <c r="I8" s="115" t="s">
        <v>59</v>
      </c>
      <c r="J8" s="115"/>
      <c r="K8" s="115" t="s">
        <v>56</v>
      </c>
      <c r="L8" s="139">
        <f>W67</f>
        <v>3.8632555021785278</v>
      </c>
      <c r="M8" s="139">
        <f>AV55</f>
        <v>0</v>
      </c>
      <c r="N8" s="139">
        <f>BV79</f>
        <v>1422.0453550570674</v>
      </c>
      <c r="O8" s="142"/>
      <c r="P8" s="181"/>
      <c r="Q8" s="111"/>
      <c r="R8" s="111"/>
      <c r="S8" s="111"/>
    </row>
    <row r="9" spans="1:19" s="63" customFormat="1" ht="12.75">
      <c r="A9" s="111"/>
      <c r="B9" s="111"/>
      <c r="C9" s="115" t="s">
        <v>92</v>
      </c>
      <c r="D9" s="158">
        <f>1400*G6</f>
        <v>7980</v>
      </c>
      <c r="E9" s="159">
        <f>IF(OR(VALUE(LEFT(D7,1))=1,VALUE(LEFT(D7,1))=2),1400*G6,"X")</f>
        <v>7980</v>
      </c>
      <c r="F9" s="158">
        <f>IF(OR(VALUE(LEFT(D7,1))=1,VALUE(LEFT(D7,1))=3),2100*G6,"X")</f>
        <v>11970</v>
      </c>
      <c r="G9" s="112"/>
      <c r="H9" s="111"/>
      <c r="I9" s="115" t="s">
        <v>60</v>
      </c>
      <c r="J9" s="115"/>
      <c r="K9" s="115" t="s">
        <v>57</v>
      </c>
      <c r="L9" s="139">
        <f>T67</f>
        <v>2422.057566994133</v>
      </c>
      <c r="M9" s="139">
        <f>AS55</f>
        <v>2021.7083959189881</v>
      </c>
      <c r="N9" s="139">
        <f>BS79</f>
        <v>3322.344349109503</v>
      </c>
      <c r="O9" s="142"/>
      <c r="P9" s="181"/>
      <c r="Q9" s="111"/>
      <c r="R9" s="111"/>
      <c r="S9" s="111"/>
    </row>
    <row r="10" spans="1:19" s="63" customFormat="1" ht="12.75">
      <c r="A10" s="111"/>
      <c r="B10" s="111"/>
      <c r="C10" s="115"/>
      <c r="D10" s="133"/>
      <c r="E10" s="133"/>
      <c r="F10" s="133"/>
      <c r="G10" s="112"/>
      <c r="H10" s="111"/>
      <c r="I10" s="115" t="s">
        <v>121</v>
      </c>
      <c r="J10" s="115"/>
      <c r="K10" s="140" t="s">
        <v>18</v>
      </c>
      <c r="L10" s="139">
        <f>heatonly*(D28*P78+D29*Q78+D30*R78)+(1-heatonly)*(D28*S78+D29*T78+D30*U78)</f>
        <v>10.740000000000002</v>
      </c>
      <c r="M10" s="139">
        <f>IF(WC,heatonly*(D28*P79+D29*Q79+D30*R79)+(1-heatonly)*(D28*S79+D29*T79+D30*U79),0)</f>
        <v>45.3</v>
      </c>
      <c r="N10" s="139">
        <f>IF(CC,heatonly*(D28*P80+D29*Q80+D30*R80)+(1-heatonly)*(D28*S80+D29*T80+D30*U80),0)</f>
        <v>7.860000000000001</v>
      </c>
      <c r="O10" s="142"/>
      <c r="P10" s="181"/>
      <c r="Q10" s="111"/>
      <c r="R10" s="111"/>
      <c r="S10" s="111"/>
    </row>
    <row r="11" spans="1:19" s="63" customFormat="1" ht="12.75">
      <c r="A11" s="111" t="s">
        <v>129</v>
      </c>
      <c r="B11" s="111"/>
      <c r="C11" s="115"/>
      <c r="D11" s="96" t="s">
        <v>125</v>
      </c>
      <c r="E11" s="133"/>
      <c r="F11" s="133"/>
      <c r="G11" s="112"/>
      <c r="H11" s="111"/>
      <c r="I11" s="114"/>
      <c r="J11" s="114"/>
      <c r="K11" s="114"/>
      <c r="L11" s="114"/>
      <c r="M11" s="114"/>
      <c r="N11" s="114"/>
      <c r="O11" s="142"/>
      <c r="P11" s="181"/>
      <c r="Q11" s="111"/>
      <c r="R11" s="111"/>
      <c r="S11" s="111"/>
    </row>
    <row r="12" spans="1:19" s="63" customFormat="1" ht="12.75">
      <c r="A12" s="111" t="s">
        <v>130</v>
      </c>
      <c r="B12" s="111"/>
      <c r="C12" s="115"/>
      <c r="D12" s="96" t="s">
        <v>126</v>
      </c>
      <c r="E12" s="133"/>
      <c r="F12" s="133"/>
      <c r="G12" s="112"/>
      <c r="I12" s="63" t="s">
        <v>119</v>
      </c>
      <c r="J12"/>
      <c r="K12" s="141" t="s">
        <v>48</v>
      </c>
      <c r="L12" s="142"/>
      <c r="M12" s="132">
        <f>IF(WC,(M17-L17)/L17,"X")</f>
        <v>0.1999360676313484</v>
      </c>
      <c r="N12" s="132">
        <f>IF(CC,(N17-L17)/L17,"X")</f>
        <v>-0.23332502194520888</v>
      </c>
      <c r="O12" s="142"/>
      <c r="P12" s="181"/>
      <c r="Q12" s="111"/>
      <c r="R12" s="111"/>
      <c r="S12" s="111"/>
    </row>
    <row r="13" spans="1:19" s="63" customFormat="1" ht="12.75">
      <c r="A13" s="111"/>
      <c r="B13" s="111"/>
      <c r="C13" s="111"/>
      <c r="D13" s="111"/>
      <c r="E13" s="111"/>
      <c r="F13" s="111"/>
      <c r="G13" s="112"/>
      <c r="H13" s="111"/>
      <c r="I13" s="114"/>
      <c r="J13" s="114"/>
      <c r="K13" s="114"/>
      <c r="L13" s="114"/>
      <c r="M13" s="114"/>
      <c r="N13" s="114"/>
      <c r="O13" s="181"/>
      <c r="P13" s="181"/>
      <c r="Q13" s="111"/>
      <c r="R13" s="111"/>
      <c r="S13" s="111"/>
    </row>
    <row r="14" spans="1:19" ht="12.75">
      <c r="A14" s="113" t="s">
        <v>154</v>
      </c>
      <c r="B14" s="114"/>
      <c r="C14" s="114"/>
      <c r="D14" s="113" t="s">
        <v>110</v>
      </c>
      <c r="E14" s="114"/>
      <c r="F14" s="114"/>
      <c r="G14" s="118"/>
      <c r="H14" s="56"/>
      <c r="I14" s="63" t="s">
        <v>134</v>
      </c>
      <c r="J14" s="114"/>
      <c r="K14" s="111" t="s">
        <v>135</v>
      </c>
      <c r="L14" s="131">
        <f>0.43*L6+(split*0.034+(1-split)*0.054)*GWP*mass</f>
        <v>1183.764153673414</v>
      </c>
      <c r="M14" s="139">
        <f>IF(WC,0.43*M6+(split*0.034+(1-split)*0.054)*GWP*mass,0)</f>
        <v>1024.813610245165</v>
      </c>
      <c r="N14" s="139">
        <f>IF(CC,0.43*N6+(split*0.034+(1-split)*0.054)*GWP*mass,0)</f>
        <v>2179.467372791625</v>
      </c>
      <c r="O14" s="142"/>
      <c r="P14" s="142"/>
      <c r="Q14" s="114"/>
      <c r="R14" s="114"/>
      <c r="S14" s="114"/>
    </row>
    <row r="15" spans="1:19" ht="12.75">
      <c r="A15" s="120" t="s">
        <v>62</v>
      </c>
      <c r="B15" s="120" t="s">
        <v>47</v>
      </c>
      <c r="C15" s="120" t="s">
        <v>65</v>
      </c>
      <c r="D15" s="120" t="s">
        <v>54</v>
      </c>
      <c r="E15" s="120" t="s">
        <v>46</v>
      </c>
      <c r="F15" s="114"/>
      <c r="G15" s="118"/>
      <c r="H15" s="115"/>
      <c r="I15" s="114"/>
      <c r="J15" s="114"/>
      <c r="K15" s="114"/>
      <c r="L15" s="114"/>
      <c r="M15" s="114"/>
      <c r="N15" s="114"/>
      <c r="O15" s="142"/>
      <c r="P15" s="142"/>
      <c r="Q15" s="114"/>
      <c r="R15" s="114"/>
      <c r="S15" s="114"/>
    </row>
    <row r="16" spans="1:19" ht="12.75">
      <c r="A16" s="121" t="s">
        <v>61</v>
      </c>
      <c r="B16" s="122">
        <v>-15</v>
      </c>
      <c r="C16" s="110" t="s">
        <v>53</v>
      </c>
      <c r="D16" s="127">
        <v>3</v>
      </c>
      <c r="E16" s="180">
        <v>1.6</v>
      </c>
      <c r="F16" s="115" t="s">
        <v>82</v>
      </c>
      <c r="G16" s="118"/>
      <c r="H16" s="115"/>
      <c r="I16" s="114"/>
      <c r="J16" s="114"/>
      <c r="K16" s="114"/>
      <c r="L16" s="120" t="s">
        <v>79</v>
      </c>
      <c r="M16" s="120" t="s">
        <v>80</v>
      </c>
      <c r="N16" s="120" t="s">
        <v>81</v>
      </c>
      <c r="O16" s="138"/>
      <c r="P16" s="142"/>
      <c r="Q16" s="114"/>
      <c r="R16" s="114"/>
      <c r="S16" s="114"/>
    </row>
    <row r="17" spans="1:19" ht="12.75">
      <c r="A17" s="121" t="s">
        <v>49</v>
      </c>
      <c r="B17" s="122">
        <v>-7</v>
      </c>
      <c r="C17" s="110" t="s">
        <v>31</v>
      </c>
      <c r="D17" s="127">
        <v>4.62</v>
      </c>
      <c r="E17" s="180">
        <v>2.8</v>
      </c>
      <c r="F17" s="114"/>
      <c r="G17" s="118"/>
      <c r="H17" s="114"/>
      <c r="I17" s="115" t="s">
        <v>117</v>
      </c>
      <c r="J17" s="114"/>
      <c r="K17" s="115" t="s">
        <v>52</v>
      </c>
      <c r="L17" s="137">
        <f>X67</f>
        <v>3.2894725689309388</v>
      </c>
      <c r="M17" s="137">
        <f>IF(WC,AW55,0)</f>
        <v>3.9471567789441804</v>
      </c>
      <c r="N17" s="137">
        <f>IF(CC,BW79,0)</f>
        <v>2.521956309596965</v>
      </c>
      <c r="O17" s="182"/>
      <c r="P17" s="142"/>
      <c r="Q17" s="114"/>
      <c r="R17" s="114"/>
      <c r="S17" s="114"/>
    </row>
    <row r="18" spans="1:19" ht="12.75">
      <c r="A18" s="121" t="s">
        <v>51</v>
      </c>
      <c r="B18" s="122">
        <v>2</v>
      </c>
      <c r="C18" s="110" t="s">
        <v>32</v>
      </c>
      <c r="D18" s="127">
        <v>7</v>
      </c>
      <c r="E18" s="180">
        <v>3.5</v>
      </c>
      <c r="F18" s="114"/>
      <c r="G18" s="118"/>
      <c r="H18" s="114"/>
      <c r="I18" s="111" t="s">
        <v>118</v>
      </c>
      <c r="J18" s="114"/>
      <c r="K18" s="115" t="s">
        <v>55</v>
      </c>
      <c r="L18" s="136">
        <f>Lh/L6</f>
        <v>3.2749736550631803</v>
      </c>
      <c r="M18" s="137">
        <f>IF(WC,LhW/M6,0)</f>
        <v>3.8606519527232526</v>
      </c>
      <c r="N18" s="137">
        <f>IF(CC,LhC/N6,0)</f>
        <v>2.5188070377499763</v>
      </c>
      <c r="O18" s="182"/>
      <c r="P18" s="142"/>
      <c r="Q18" s="114"/>
      <c r="R18" s="114"/>
      <c r="S18" s="114"/>
    </row>
    <row r="19" spans="1:19" ht="12.75">
      <c r="A19" s="121" t="s">
        <v>63</v>
      </c>
      <c r="B19" s="122">
        <v>7</v>
      </c>
      <c r="C19" s="128" t="s">
        <v>33</v>
      </c>
      <c r="D19" s="127">
        <v>8.02</v>
      </c>
      <c r="E19" s="180">
        <v>4</v>
      </c>
      <c r="F19" s="114"/>
      <c r="G19" s="118"/>
      <c r="H19" s="114"/>
      <c r="I19" s="114"/>
      <c r="J19" s="114"/>
      <c r="K19" s="114"/>
      <c r="L19" s="114"/>
      <c r="M19" s="114"/>
      <c r="N19" s="114"/>
      <c r="O19" s="142"/>
      <c r="P19" s="142"/>
      <c r="Q19" s="114"/>
      <c r="R19" s="114"/>
      <c r="S19" s="114"/>
    </row>
    <row r="20" spans="1:19" ht="12.75">
      <c r="A20" s="121" t="s">
        <v>64</v>
      </c>
      <c r="B20" s="122">
        <v>12</v>
      </c>
      <c r="C20" s="128" t="s">
        <v>34</v>
      </c>
      <c r="D20" s="127">
        <v>8.2</v>
      </c>
      <c r="E20" s="180">
        <v>4.3</v>
      </c>
      <c r="F20" s="114"/>
      <c r="G20" s="118"/>
      <c r="H20" s="114"/>
      <c r="I20" s="114"/>
      <c r="J20" s="114"/>
      <c r="K20" s="114"/>
      <c r="L20" s="114"/>
      <c r="M20" s="116" t="s">
        <v>147</v>
      </c>
      <c r="N20" s="114"/>
      <c r="O20" s="140" t="s">
        <v>55</v>
      </c>
      <c r="P20" s="142"/>
      <c r="Q20" s="114"/>
      <c r="R20" s="114"/>
      <c r="S20" s="114"/>
    </row>
    <row r="21" spans="1:19" ht="12.75">
      <c r="A21" s="114"/>
      <c r="B21" s="52"/>
      <c r="C21" s="64"/>
      <c r="D21" s="52"/>
      <c r="E21" s="114"/>
      <c r="F21" s="114"/>
      <c r="G21" s="118"/>
      <c r="H21" s="114"/>
      <c r="I21" s="114" t="s">
        <v>140</v>
      </c>
      <c r="J21" s="114"/>
      <c r="K21" s="114"/>
      <c r="L21" s="114"/>
      <c r="M21" s="146"/>
      <c r="N21" s="153" t="s">
        <v>138</v>
      </c>
      <c r="O21" s="183">
        <v>4.6</v>
      </c>
      <c r="P21" s="142"/>
      <c r="Q21" s="114"/>
      <c r="R21" s="114"/>
      <c r="S21" s="114"/>
    </row>
    <row r="22" spans="1:19" ht="12.75">
      <c r="A22" s="123" t="s">
        <v>112</v>
      </c>
      <c r="B22" s="114"/>
      <c r="C22" s="128" t="s">
        <v>111</v>
      </c>
      <c r="D22" s="127">
        <v>0.1</v>
      </c>
      <c r="E22" s="115" t="s">
        <v>113</v>
      </c>
      <c r="F22" s="114"/>
      <c r="G22" s="118"/>
      <c r="H22" s="114"/>
      <c r="I22" s="115" t="s">
        <v>142</v>
      </c>
      <c r="J22" s="114"/>
      <c r="K22" s="157">
        <f>G6</f>
        <v>5.7</v>
      </c>
      <c r="L22" s="114"/>
      <c r="M22" s="147"/>
      <c r="N22" s="153" t="s">
        <v>138</v>
      </c>
      <c r="O22" s="183">
        <v>4</v>
      </c>
      <c r="P22" s="142"/>
      <c r="Q22" s="114"/>
      <c r="R22" s="114"/>
      <c r="S22" s="114"/>
    </row>
    <row r="23" spans="1:19" ht="12.75">
      <c r="A23" s="123"/>
      <c r="B23" s="114"/>
      <c r="C23" s="125"/>
      <c r="D23" s="114"/>
      <c r="E23" s="114"/>
      <c r="F23" s="114"/>
      <c r="G23" s="118"/>
      <c r="H23" s="114"/>
      <c r="I23" s="114" t="s">
        <v>146</v>
      </c>
      <c r="J23" s="114"/>
      <c r="K23" s="179" t="str">
        <f>RIGHT(D6,3)</f>
        <v>  M</v>
      </c>
      <c r="L23" s="114"/>
      <c r="M23" s="148"/>
      <c r="N23" s="153" t="s">
        <v>138</v>
      </c>
      <c r="O23" s="183">
        <v>3.4</v>
      </c>
      <c r="P23" s="59"/>
      <c r="R23" s="114"/>
      <c r="S23" s="114"/>
    </row>
    <row r="24" spans="1:19" ht="15.75">
      <c r="A24" s="123" t="s">
        <v>78</v>
      </c>
      <c r="B24" s="114"/>
      <c r="C24" s="64" t="s">
        <v>38</v>
      </c>
      <c r="D24" s="129">
        <v>0.25</v>
      </c>
      <c r="E24" s="115" t="s">
        <v>114</v>
      </c>
      <c r="F24" s="114"/>
      <c r="G24" s="118"/>
      <c r="H24" s="114"/>
      <c r="I24" s="115" t="s">
        <v>141</v>
      </c>
      <c r="J24" s="114"/>
      <c r="K24" s="157">
        <v>50</v>
      </c>
      <c r="L24" s="114"/>
      <c r="M24" s="149"/>
      <c r="N24" s="154" t="s">
        <v>138</v>
      </c>
      <c r="O24" s="183">
        <v>3.1</v>
      </c>
      <c r="P24" s="59"/>
      <c r="R24" s="114"/>
      <c r="S24" s="114"/>
    </row>
    <row r="25" spans="1:19" ht="12.75">
      <c r="A25" s="123" t="s">
        <v>66</v>
      </c>
      <c r="B25" s="114"/>
      <c r="C25" s="116" t="s">
        <v>39</v>
      </c>
      <c r="D25" s="94">
        <v>-9</v>
      </c>
      <c r="E25" s="114"/>
      <c r="F25" s="114"/>
      <c r="G25" s="118"/>
      <c r="H25" s="114"/>
      <c r="I25" s="115" t="s">
        <v>143</v>
      </c>
      <c r="J25" s="114"/>
      <c r="K25" s="114"/>
      <c r="L25" s="114"/>
      <c r="M25" s="150"/>
      <c r="N25" s="153" t="s">
        <v>138</v>
      </c>
      <c r="O25" s="183">
        <v>2.8</v>
      </c>
      <c r="P25" s="142"/>
      <c r="Q25" s="114"/>
      <c r="R25" s="114"/>
      <c r="S25" s="114"/>
    </row>
    <row r="26" spans="1:19" ht="12.75">
      <c r="A26" s="123"/>
      <c r="B26" s="114"/>
      <c r="C26" s="116"/>
      <c r="D26" s="126"/>
      <c r="E26" s="114"/>
      <c r="G26" s="112"/>
      <c r="H26" s="111"/>
      <c r="I26" s="114"/>
      <c r="J26" s="114"/>
      <c r="K26" s="114"/>
      <c r="L26" s="114"/>
      <c r="M26" s="151"/>
      <c r="N26" s="153" t="s">
        <v>138</v>
      </c>
      <c r="O26" s="183">
        <v>2.5</v>
      </c>
      <c r="P26" s="142"/>
      <c r="Q26" s="114"/>
      <c r="R26" s="114"/>
      <c r="S26" s="114"/>
    </row>
    <row r="27" spans="1:19" ht="12.75">
      <c r="A27" s="123"/>
      <c r="B27" s="114"/>
      <c r="C27" s="116"/>
      <c r="D27" s="126" t="s">
        <v>19</v>
      </c>
      <c r="E27" s="114"/>
      <c r="F27" s="111" t="s">
        <v>151</v>
      </c>
      <c r="G27" s="112"/>
      <c r="H27" s="111"/>
      <c r="I27" s="114"/>
      <c r="J27" s="114"/>
      <c r="K27" s="114"/>
      <c r="L27" s="114"/>
      <c r="M27" s="152"/>
      <c r="N27" s="153" t="s">
        <v>138</v>
      </c>
      <c r="O27" s="183">
        <v>2.2</v>
      </c>
      <c r="P27" s="142"/>
      <c r="Q27" s="114"/>
      <c r="R27" s="114"/>
      <c r="S27" s="114"/>
    </row>
    <row r="28" spans="1:19" ht="12.75">
      <c r="A28" s="123" t="s">
        <v>67</v>
      </c>
      <c r="B28" s="114"/>
      <c r="C28" s="116" t="s">
        <v>103</v>
      </c>
      <c r="D28" s="130">
        <v>0.05</v>
      </c>
      <c r="E28" s="114"/>
      <c r="F28" s="160" t="s">
        <v>139</v>
      </c>
      <c r="G28" s="165"/>
      <c r="H28" s="111"/>
      <c r="I28" s="161" t="s">
        <v>149</v>
      </c>
      <c r="J28" s="162"/>
      <c r="K28" s="178" t="str">
        <f>IF(L18&gt;=3.5,"pass","no pass")</f>
        <v>no pass</v>
      </c>
      <c r="L28" s="114"/>
      <c r="M28" s="114"/>
      <c r="N28" s="114"/>
      <c r="O28" s="183">
        <v>1.9</v>
      </c>
      <c r="P28" s="142"/>
      <c r="Q28" s="114"/>
      <c r="R28" s="114"/>
      <c r="S28" s="114"/>
    </row>
    <row r="29" spans="1:19" ht="12.75">
      <c r="A29" s="123" t="s">
        <v>106</v>
      </c>
      <c r="B29" s="114"/>
      <c r="C29" s="116" t="s">
        <v>104</v>
      </c>
      <c r="D29" s="130">
        <v>0.01</v>
      </c>
      <c r="E29" s="114"/>
      <c r="F29" s="166" t="s">
        <v>152</v>
      </c>
      <c r="G29" s="155">
        <v>2000</v>
      </c>
      <c r="H29" s="115"/>
      <c r="I29" s="163" t="s">
        <v>150</v>
      </c>
      <c r="J29" s="164"/>
      <c r="K29" s="178" t="str">
        <f>IF(L18&gt;=3.2,"pass","no pass")</f>
        <v>pass</v>
      </c>
      <c r="L29" s="114"/>
      <c r="M29" s="114"/>
      <c r="N29" s="114"/>
      <c r="O29" s="142"/>
      <c r="P29" s="142"/>
      <c r="Q29" s="114"/>
      <c r="R29" s="114"/>
      <c r="S29" s="114"/>
    </row>
    <row r="30" spans="1:19" s="59" customFormat="1" ht="12.75">
      <c r="A30" s="123" t="s">
        <v>68</v>
      </c>
      <c r="B30" s="114"/>
      <c r="C30" s="116" t="s">
        <v>105</v>
      </c>
      <c r="D30" s="130">
        <v>0.01</v>
      </c>
      <c r="E30" s="114"/>
      <c r="F30" s="166" t="s">
        <v>153</v>
      </c>
      <c r="G30" s="155">
        <v>2</v>
      </c>
      <c r="H30" s="115"/>
      <c r="I30" s="114"/>
      <c r="J30" s="114"/>
      <c r="K30" s="114"/>
      <c r="L30" s="114"/>
      <c r="M30" s="114"/>
      <c r="N30" s="114"/>
      <c r="O30" s="142"/>
      <c r="P30" s="142"/>
      <c r="Q30" s="142"/>
      <c r="R30" s="142"/>
      <c r="S30" s="142"/>
    </row>
    <row r="31" spans="1:19" s="59" customFormat="1" ht="12.75">
      <c r="A31" s="123"/>
      <c r="B31" s="114"/>
      <c r="C31" s="116"/>
      <c r="D31" s="145"/>
      <c r="E31" s="114"/>
      <c r="F31" s="114"/>
      <c r="G31" s="118"/>
      <c r="H31" s="114"/>
      <c r="I31" s="114"/>
      <c r="J31" s="114"/>
      <c r="K31" s="114"/>
      <c r="L31" s="114"/>
      <c r="M31" s="114"/>
      <c r="N31" s="114"/>
      <c r="O31" s="142"/>
      <c r="P31" s="142"/>
      <c r="Q31" s="142"/>
      <c r="R31" s="142"/>
      <c r="S31" s="142"/>
    </row>
    <row r="32" spans="1:19" s="59" customFormat="1" ht="13.5" thickBot="1">
      <c r="A32" s="124"/>
      <c r="B32" s="124"/>
      <c r="C32" s="124"/>
      <c r="D32" s="124"/>
      <c r="E32" s="124"/>
      <c r="F32" s="124"/>
      <c r="G32" s="119"/>
      <c r="H32" s="124"/>
      <c r="I32" s="124"/>
      <c r="J32" s="124"/>
      <c r="K32" s="124"/>
      <c r="L32" s="124"/>
      <c r="M32" s="124"/>
      <c r="N32" s="124"/>
      <c r="O32" s="124"/>
      <c r="P32" s="142"/>
      <c r="Q32" s="142"/>
      <c r="R32" s="142"/>
      <c r="S32" s="142"/>
    </row>
    <row r="33" ht="12.75">
      <c r="A33" s="63" t="s">
        <v>144</v>
      </c>
    </row>
    <row r="34" ht="12.75" hidden="1"/>
    <row r="35" spans="1:77" ht="15.75" hidden="1">
      <c r="A35" s="2"/>
      <c r="B35" s="3"/>
      <c r="C35" s="4" t="s">
        <v>0</v>
      </c>
      <c r="D35" s="3"/>
      <c r="E35" s="2"/>
      <c r="F35" s="2"/>
      <c r="G35" s="2"/>
      <c r="H35" s="5"/>
      <c r="I35" s="2"/>
      <c r="J35" s="2"/>
      <c r="K35" s="2"/>
      <c r="L35" s="2"/>
      <c r="M35" s="2"/>
      <c r="N35" s="2"/>
      <c r="O35" s="3"/>
      <c r="P35" s="2"/>
      <c r="S35" s="2"/>
      <c r="T35" s="1" t="s">
        <v>43</v>
      </c>
      <c r="U35" s="2"/>
      <c r="V35" s="6"/>
      <c r="W35" s="6"/>
      <c r="X35" s="6"/>
      <c r="Y35" s="2"/>
      <c r="Z35" s="2"/>
      <c r="AA35" s="3"/>
      <c r="AB35" s="4" t="s">
        <v>1</v>
      </c>
      <c r="AC35" s="3"/>
      <c r="AD35" s="2"/>
      <c r="AE35" s="2"/>
      <c r="AF35" s="2"/>
      <c r="AG35" s="5"/>
      <c r="AH35" s="2"/>
      <c r="AI35" s="2"/>
      <c r="AJ35" s="2"/>
      <c r="AK35" s="2"/>
      <c r="AL35" s="2"/>
      <c r="AM35" s="2"/>
      <c r="AN35" s="3"/>
      <c r="AO35" s="2"/>
      <c r="AP35" s="2"/>
      <c r="AQ35" s="2"/>
      <c r="AR35" s="6"/>
      <c r="AS35" s="2"/>
      <c r="AT35" s="2"/>
      <c r="AU35" s="2"/>
      <c r="AV35" s="2"/>
      <c r="AW35" s="2"/>
      <c r="AX35" s="2"/>
      <c r="AY35" s="2"/>
      <c r="AZ35" s="2"/>
      <c r="BA35" s="3"/>
      <c r="BB35" s="4" t="s">
        <v>2</v>
      </c>
      <c r="BC35" s="3"/>
      <c r="BD35" s="2"/>
      <c r="BE35" s="2"/>
      <c r="BF35" s="2"/>
      <c r="BG35" s="5"/>
      <c r="BH35" s="2"/>
      <c r="BI35" s="2"/>
      <c r="BJ35" s="2"/>
      <c r="BK35" s="2"/>
      <c r="BL35" s="2"/>
      <c r="BM35" s="2"/>
      <c r="BN35" s="3"/>
      <c r="BO35" s="2"/>
      <c r="BP35" s="2"/>
      <c r="BQ35" s="6"/>
      <c r="BR35" s="2"/>
      <c r="BS35" s="2"/>
      <c r="BT35" s="2"/>
      <c r="BU35" s="2"/>
      <c r="BV35" s="2"/>
      <c r="BW35" s="2"/>
      <c r="BX35" s="2"/>
      <c r="BY35" s="2"/>
    </row>
    <row r="36" spans="1:77" ht="15.75" hidden="1">
      <c r="A36" s="2"/>
      <c r="B36" s="2"/>
      <c r="C36" s="4" t="s">
        <v>3</v>
      </c>
      <c r="D36" s="2"/>
      <c r="E36" s="2"/>
      <c r="F36" s="3"/>
      <c r="G36" s="3"/>
      <c r="H36" s="3"/>
      <c r="I36" s="2"/>
      <c r="J36" s="7" t="s">
        <v>4</v>
      </c>
      <c r="K36" s="8">
        <f>tst1</f>
        <v>12</v>
      </c>
      <c r="L36" s="8">
        <f>tst2</f>
        <v>7</v>
      </c>
      <c r="M36" s="8">
        <f>tst3</f>
        <v>2</v>
      </c>
      <c r="N36" s="8">
        <f>tst4</f>
        <v>-7</v>
      </c>
      <c r="O36" s="3"/>
      <c r="P36" s="3"/>
      <c r="Q36" s="62" t="s">
        <v>42</v>
      </c>
      <c r="R36" s="62" t="s">
        <v>42</v>
      </c>
      <c r="S36" s="2"/>
      <c r="T36" s="2"/>
      <c r="U36" s="2"/>
      <c r="V36" s="6"/>
      <c r="W36" s="6"/>
      <c r="X36" s="6"/>
      <c r="Y36" s="2"/>
      <c r="Z36" s="2"/>
      <c r="AA36" s="2"/>
      <c r="AB36" s="4" t="s">
        <v>3</v>
      </c>
      <c r="AC36" s="2"/>
      <c r="AD36" s="3"/>
      <c r="AE36" s="3"/>
      <c r="AF36" s="3"/>
      <c r="AG36" s="2"/>
      <c r="AH36" s="7" t="s">
        <v>4</v>
      </c>
      <c r="AI36" s="8">
        <f>tst1</f>
        <v>12</v>
      </c>
      <c r="AJ36" s="8">
        <f>tst2</f>
        <v>7</v>
      </c>
      <c r="AK36" s="8">
        <f>tst3</f>
        <v>2</v>
      </c>
      <c r="AL36" s="8">
        <f>tst4</f>
        <v>-7</v>
      </c>
      <c r="AN36" s="3"/>
      <c r="AO36" s="3"/>
      <c r="AP36" s="5"/>
      <c r="AQ36" s="2"/>
      <c r="AR36" s="6"/>
      <c r="AS36" s="58"/>
      <c r="AT36" s="6"/>
      <c r="AU36" s="6"/>
      <c r="AV36" s="6"/>
      <c r="AW36" s="58"/>
      <c r="AX36" s="6"/>
      <c r="AY36" s="2"/>
      <c r="AZ36" s="2"/>
      <c r="BA36" s="2"/>
      <c r="BB36" s="4" t="s">
        <v>3</v>
      </c>
      <c r="BC36" s="2"/>
      <c r="BD36" s="3"/>
      <c r="BE36" s="3"/>
      <c r="BF36" s="3"/>
      <c r="BG36" s="2"/>
      <c r="BH36" s="7" t="s">
        <v>4</v>
      </c>
      <c r="BI36" s="8">
        <f>tst1</f>
        <v>12</v>
      </c>
      <c r="BJ36" s="8">
        <f>tst2</f>
        <v>7</v>
      </c>
      <c r="BK36" s="8">
        <f>tst3</f>
        <v>2</v>
      </c>
      <c r="BL36" s="8">
        <f>tst4</f>
        <v>-7</v>
      </c>
      <c r="BM36" s="8">
        <f>tst5</f>
        <v>-15</v>
      </c>
      <c r="BN36" s="3"/>
      <c r="BO36" s="3"/>
      <c r="BP36" s="5"/>
      <c r="BQ36" s="2"/>
      <c r="BR36" s="6"/>
      <c r="BS36" s="58"/>
      <c r="BT36" s="6"/>
      <c r="BU36" s="6"/>
      <c r="BV36" s="6"/>
      <c r="BW36" s="58"/>
      <c r="BX36" s="6"/>
      <c r="BY36" s="6"/>
    </row>
    <row r="37" spans="1:77" ht="12.75" hidden="1">
      <c r="A37" s="2"/>
      <c r="B37" s="1" t="s">
        <v>5</v>
      </c>
      <c r="C37" s="8" t="s">
        <v>6</v>
      </c>
      <c r="D37" s="8" t="s">
        <v>7</v>
      </c>
      <c r="E37" s="9" t="s">
        <v>8</v>
      </c>
      <c r="F37" s="9" t="s">
        <v>9</v>
      </c>
      <c r="G37" s="9" t="s">
        <v>10</v>
      </c>
      <c r="H37" s="8" t="s">
        <v>11</v>
      </c>
      <c r="I37" s="2"/>
      <c r="J37" s="7" t="s">
        <v>12</v>
      </c>
      <c r="K37" s="8">
        <f>Php1</f>
        <v>8.2</v>
      </c>
      <c r="L37" s="8">
        <f>Php2</f>
        <v>8.02</v>
      </c>
      <c r="M37" s="8">
        <f>Php3</f>
        <v>7</v>
      </c>
      <c r="N37" s="8">
        <f>Php4</f>
        <v>4.62</v>
      </c>
      <c r="O37" s="10" t="s">
        <v>13</v>
      </c>
      <c r="P37" s="10" t="s">
        <v>14</v>
      </c>
      <c r="Q37" s="10" t="s">
        <v>15</v>
      </c>
      <c r="R37" s="10" t="s">
        <v>16</v>
      </c>
      <c r="S37" s="53"/>
      <c r="T37" s="8" t="s">
        <v>35</v>
      </c>
      <c r="U37" s="8" t="s">
        <v>36</v>
      </c>
      <c r="V37" s="8" t="s">
        <v>37</v>
      </c>
      <c r="W37" s="8" t="s">
        <v>41</v>
      </c>
      <c r="X37" s="8" t="s">
        <v>40</v>
      </c>
      <c r="Z37" s="2"/>
      <c r="AA37" s="1" t="s">
        <v>5</v>
      </c>
      <c r="AB37" s="8" t="s">
        <v>6</v>
      </c>
      <c r="AC37" s="8" t="s">
        <v>7</v>
      </c>
      <c r="AD37" s="9" t="s">
        <v>8</v>
      </c>
      <c r="AE37" s="9" t="s">
        <v>9</v>
      </c>
      <c r="AF37" s="9" t="s">
        <v>10</v>
      </c>
      <c r="AG37" s="8" t="s">
        <v>11</v>
      </c>
      <c r="AH37" s="7" t="s">
        <v>12</v>
      </c>
      <c r="AI37" s="8">
        <f>Php1</f>
        <v>8.2</v>
      </c>
      <c r="AJ37" s="8">
        <f>Php2</f>
        <v>8.02</v>
      </c>
      <c r="AK37" s="8">
        <f>Php3</f>
        <v>7</v>
      </c>
      <c r="AL37" s="8">
        <f>Php4</f>
        <v>4.62</v>
      </c>
      <c r="AN37" s="10" t="s">
        <v>13</v>
      </c>
      <c r="AO37" s="10" t="s">
        <v>14</v>
      </c>
      <c r="AP37" s="10" t="s">
        <v>15</v>
      </c>
      <c r="AQ37" s="10" t="s">
        <v>16</v>
      </c>
      <c r="AR37" s="6"/>
      <c r="AS37" s="8" t="s">
        <v>35</v>
      </c>
      <c r="AT37" s="8" t="s">
        <v>36</v>
      </c>
      <c r="AU37" s="8" t="s">
        <v>37</v>
      </c>
      <c r="AV37" s="8" t="s">
        <v>41</v>
      </c>
      <c r="AW37" s="8" t="s">
        <v>40</v>
      </c>
      <c r="AX37" s="53"/>
      <c r="AY37" s="2"/>
      <c r="AZ37" s="2"/>
      <c r="BA37" s="1" t="s">
        <v>5</v>
      </c>
      <c r="BB37" s="8" t="s">
        <v>6</v>
      </c>
      <c r="BC37" s="8" t="s">
        <v>7</v>
      </c>
      <c r="BD37" s="9" t="s">
        <v>8</v>
      </c>
      <c r="BE37" s="9" t="s">
        <v>9</v>
      </c>
      <c r="BF37" s="9" t="s">
        <v>10</v>
      </c>
      <c r="BG37" s="8" t="s">
        <v>11</v>
      </c>
      <c r="BH37" s="7" t="s">
        <v>12</v>
      </c>
      <c r="BI37" s="8">
        <f>Php1</f>
        <v>8.2</v>
      </c>
      <c r="BJ37" s="8">
        <f>Php2</f>
        <v>8.02</v>
      </c>
      <c r="BK37" s="8">
        <f>Php3</f>
        <v>7</v>
      </c>
      <c r="BL37" s="8">
        <f>Php4</f>
        <v>4.62</v>
      </c>
      <c r="BM37" s="8">
        <f>Php5</f>
        <v>3</v>
      </c>
      <c r="BN37" s="10" t="s">
        <v>13</v>
      </c>
      <c r="BO37" s="10" t="s">
        <v>14</v>
      </c>
      <c r="BP37" s="10" t="s">
        <v>15</v>
      </c>
      <c r="BQ37" s="10" t="s">
        <v>16</v>
      </c>
      <c r="BR37" s="6"/>
      <c r="BS37" s="8" t="s">
        <v>35</v>
      </c>
      <c r="BT37" s="8" t="s">
        <v>36</v>
      </c>
      <c r="BU37" s="8" t="s">
        <v>37</v>
      </c>
      <c r="BV37" s="8" t="s">
        <v>41</v>
      </c>
      <c r="BW37" s="8" t="s">
        <v>40</v>
      </c>
      <c r="BX37" s="53"/>
      <c r="BY37" s="6"/>
    </row>
    <row r="38" spans="1:77" ht="13.5" hidden="1" thickBot="1">
      <c r="A38" s="2"/>
      <c r="B38" s="11" t="s">
        <v>17</v>
      </c>
      <c r="C38" s="12" t="s">
        <v>18</v>
      </c>
      <c r="D38" s="12" t="s">
        <v>19</v>
      </c>
      <c r="E38" s="13" t="s">
        <v>20</v>
      </c>
      <c r="F38" s="13" t="s">
        <v>17</v>
      </c>
      <c r="G38" s="13" t="s">
        <v>21</v>
      </c>
      <c r="H38" s="14"/>
      <c r="I38" s="2"/>
      <c r="J38" s="2"/>
      <c r="K38" s="15" t="s">
        <v>22</v>
      </c>
      <c r="L38" s="15" t="s">
        <v>23</v>
      </c>
      <c r="M38" s="14" t="s">
        <v>24</v>
      </c>
      <c r="N38" s="15" t="s">
        <v>25</v>
      </c>
      <c r="O38" s="15" t="s">
        <v>19</v>
      </c>
      <c r="P38" s="15" t="s">
        <v>18</v>
      </c>
      <c r="Q38" s="16"/>
      <c r="R38" s="15" t="s">
        <v>20</v>
      </c>
      <c r="S38" s="54"/>
      <c r="T38" s="8" t="s">
        <v>18</v>
      </c>
      <c r="U38" s="8"/>
      <c r="V38" s="8"/>
      <c r="W38" s="8"/>
      <c r="X38" s="8"/>
      <c r="Z38" s="2"/>
      <c r="AA38" s="11" t="s">
        <v>17</v>
      </c>
      <c r="AB38" s="12" t="s">
        <v>18</v>
      </c>
      <c r="AC38" s="12" t="s">
        <v>19</v>
      </c>
      <c r="AD38" s="13" t="s">
        <v>20</v>
      </c>
      <c r="AE38" s="13" t="s">
        <v>17</v>
      </c>
      <c r="AF38" s="13" t="s">
        <v>21</v>
      </c>
      <c r="AG38" s="15" t="s">
        <v>25</v>
      </c>
      <c r="AH38" s="2"/>
      <c r="AI38" s="15" t="s">
        <v>22</v>
      </c>
      <c r="AJ38" s="15" t="s">
        <v>23</v>
      </c>
      <c r="AK38" s="15" t="s">
        <v>24</v>
      </c>
      <c r="AL38" s="15" t="s">
        <v>25</v>
      </c>
      <c r="AN38" s="15" t="s">
        <v>19</v>
      </c>
      <c r="AO38" s="15" t="s">
        <v>18</v>
      </c>
      <c r="AP38" s="16"/>
      <c r="AQ38" s="15" t="s">
        <v>20</v>
      </c>
      <c r="AR38" s="6"/>
      <c r="AS38" s="8" t="s">
        <v>18</v>
      </c>
      <c r="AT38" s="8"/>
      <c r="AU38" s="8"/>
      <c r="AV38" s="8"/>
      <c r="AW38" s="8"/>
      <c r="AX38" s="54"/>
      <c r="AY38" s="2"/>
      <c r="AZ38" s="2"/>
      <c r="BA38" s="11" t="s">
        <v>17</v>
      </c>
      <c r="BB38" s="12" t="s">
        <v>18</v>
      </c>
      <c r="BC38" s="12" t="s">
        <v>19</v>
      </c>
      <c r="BD38" s="13" t="s">
        <v>20</v>
      </c>
      <c r="BE38" s="13" t="s">
        <v>17</v>
      </c>
      <c r="BF38" s="13" t="s">
        <v>21</v>
      </c>
      <c r="BG38" s="15" t="s">
        <v>25</v>
      </c>
      <c r="BH38" s="2"/>
      <c r="BI38" s="15" t="s">
        <v>22</v>
      </c>
      <c r="BJ38" s="15" t="s">
        <v>23</v>
      </c>
      <c r="BK38" s="14" t="s">
        <v>24</v>
      </c>
      <c r="BL38" s="15" t="s">
        <v>25</v>
      </c>
      <c r="BM38" s="15" t="s">
        <v>145</v>
      </c>
      <c r="BN38" s="15" t="s">
        <v>19</v>
      </c>
      <c r="BO38" s="15" t="s">
        <v>18</v>
      </c>
      <c r="BP38" s="16"/>
      <c r="BQ38" s="15" t="s">
        <v>20</v>
      </c>
      <c r="BR38" s="6"/>
      <c r="BS38" s="8" t="s">
        <v>18</v>
      </c>
      <c r="BT38" s="8"/>
      <c r="BU38" s="8"/>
      <c r="BV38" s="8"/>
      <c r="BW38" s="8"/>
      <c r="BX38" s="54"/>
      <c r="BY38" s="6"/>
    </row>
    <row r="39" spans="1:77" ht="13.5" hidden="1" thickBot="1">
      <c r="A39" s="17"/>
      <c r="B39" s="18"/>
      <c r="C39" s="19"/>
      <c r="D39" s="20"/>
      <c r="E39" s="19"/>
      <c r="F39" s="21"/>
      <c r="G39" s="22"/>
      <c r="H39" s="23"/>
      <c r="I39" s="2"/>
      <c r="J39" s="2"/>
      <c r="K39" s="24"/>
      <c r="L39" s="24"/>
      <c r="M39" s="20"/>
      <c r="N39" s="24"/>
      <c r="O39" s="21"/>
      <c r="P39" s="25"/>
      <c r="Q39" s="57"/>
      <c r="R39" s="19"/>
      <c r="S39" s="50"/>
      <c r="T39" s="19"/>
      <c r="U39" s="20"/>
      <c r="V39" s="24"/>
      <c r="W39" s="24"/>
      <c r="X39" s="24"/>
      <c r="Z39" s="17"/>
      <c r="AA39" s="29"/>
      <c r="AB39" s="19"/>
      <c r="AC39" s="20"/>
      <c r="AD39" s="19"/>
      <c r="AE39" s="21"/>
      <c r="AF39" s="22"/>
      <c r="AG39" s="23"/>
      <c r="AI39" s="2"/>
      <c r="AJ39" s="24"/>
      <c r="AK39" s="24"/>
      <c r="AL39" s="20"/>
      <c r="AM39" s="24"/>
      <c r="AN39" s="21"/>
      <c r="AO39" s="25"/>
      <c r="AP39" s="26"/>
      <c r="AQ39" s="19"/>
      <c r="AR39" s="27"/>
      <c r="AS39" s="50"/>
      <c r="AT39" s="35"/>
      <c r="AU39" s="27"/>
      <c r="AV39" s="6"/>
      <c r="AW39" s="50"/>
      <c r="AX39" s="35"/>
      <c r="AY39" s="2"/>
      <c r="AZ39" s="2"/>
      <c r="BA39" s="29"/>
      <c r="BB39" s="19"/>
      <c r="BC39" s="20"/>
      <c r="BD39" s="19"/>
      <c r="BE39" s="21"/>
      <c r="BF39" s="22"/>
      <c r="BG39" s="23"/>
      <c r="BH39" s="2"/>
      <c r="BI39" s="24"/>
      <c r="BJ39" s="24"/>
      <c r="BK39" s="20"/>
      <c r="BL39" s="24"/>
      <c r="BM39" s="2"/>
      <c r="BN39" s="21"/>
      <c r="BO39" s="25"/>
      <c r="BP39" s="26"/>
      <c r="BQ39" s="19"/>
      <c r="BR39" s="27"/>
      <c r="BS39" s="50"/>
      <c r="BT39" s="35"/>
      <c r="BU39" s="27"/>
      <c r="BV39" s="6"/>
      <c r="BW39" s="50"/>
      <c r="BX39" s="35"/>
      <c r="BY39" s="6"/>
    </row>
    <row r="40" spans="1:77" ht="12.75" hidden="1">
      <c r="A40" s="30"/>
      <c r="B40" s="18">
        <v>-10</v>
      </c>
      <c r="C40" s="31">
        <f>PouthpA_tp*hphrsA_tp</f>
        <v>0</v>
      </c>
      <c r="D40" s="32">
        <f>MIN(1*PoutmaxhpA_tp,1*PrsA_tp)</f>
        <v>0</v>
      </c>
      <c r="E40" s="33">
        <f aca="true" t="shared" si="0" ref="E40:E65">IF(D40&gt;0,hrA_tp,0)</f>
        <v>0</v>
      </c>
      <c r="F40" s="34">
        <f>G40*H40</f>
        <v>0</v>
      </c>
      <c r="G40" s="33">
        <f>IF(binlimit&lt;=ToutA_tp,1,0)</f>
        <v>0</v>
      </c>
      <c r="H40" s="23">
        <f aca="true" t="shared" si="1" ref="H40:H65">Php1*w1A_tp+Php2*w2A_tp+Php3*w3A_tp+Php4*w4A_tp</f>
        <v>3.826666666666667</v>
      </c>
      <c r="I40" s="2"/>
      <c r="J40" s="2"/>
      <c r="K40" s="32">
        <f aca="true" t="shared" si="2" ref="K40:K57">IF(ToutA_tp&gt;=tst1,1+(ToutA_tp-tst1)/(tst1-tst2),IF(AND(ToutA_tp&gt;tst2,ToutA_tp&lt;tst1),1-(ToutA_tp-tst1)/(tst2-tst1),0))</f>
        <v>0</v>
      </c>
      <c r="L40" s="32">
        <f aca="true" t="shared" si="3" ref="L40:L55">IF(AND(ToutA_tp&lt;tst1,ToutA_tp&gt;=tst2),(ToutA_tp-tst1)/(tst2-tst1),IF(AND(ToutA_tp&gt;tst3,ToutA_tp&lt;tst2),1-(ToutA_tp-tst2)/(tst3-tst2),IF(ToutA_tp&gt;tst1,(ToutA_tp-tst1)/(tst2-tst1),0)))</f>
        <v>0</v>
      </c>
      <c r="M40" s="35">
        <f aca="true" t="shared" si="4" ref="M40:M65">IF(AND(ToutA_tp&lt;tst2,ToutA_tp&gt;=tst3),(ToutA_tp-tst2)/(tst3-tst2),IF(AND(ToutA_tp&gt;tst4,ToutA_tp&lt;tst3),1-(ToutA_tp-tst3)/(tst4-tst3),IF(ToutA_tp&lt;4,-(ToutA_tp-tst4)/(tst4-tst3),0)))</f>
        <v>-0.3333333333333333</v>
      </c>
      <c r="N40" s="32">
        <f>IF(AND(ToutA_tp&lt;tst3,ToutA_tp&gt;=tst4),(ToutA_tp-tst3)/(tst4-tst3),IF(AND(ToutA_tp&lt;tst4),1+(ToutA_tp-tst4)/(tst4-tst3),0))</f>
        <v>1.3333333333333333</v>
      </c>
      <c r="O40" s="34">
        <f>LhsysA_tp/hrA_tp</f>
        <v>3.8632555021785278</v>
      </c>
      <c r="P40" s="36">
        <f>Lh*fracA_tp</f>
        <v>3.8632555021785278</v>
      </c>
      <c r="Q40" s="51">
        <f aca="true" t="shared" si="5" ref="Q40:Q65">I85</f>
        <v>0.00048411723084943955</v>
      </c>
      <c r="R40" s="61">
        <f aca="true" t="shared" si="6" ref="R40:R65">E85</f>
        <v>1</v>
      </c>
      <c r="S40" s="28"/>
      <c r="T40" s="50">
        <f aca="true" t="shared" si="7" ref="T40:T66">IF(COPA_tp&gt;0,LhpA_tp/COPA_tp,0)</f>
        <v>0</v>
      </c>
      <c r="U40" s="35">
        <f aca="true" t="shared" si="8" ref="U40:U66">(COP1*w1A_tp+COP2*w2A_tp+COP3*w3A_tp+COP4*w4A_tp)-CdA_tp*(PmaxhpA_tp-PouthpA_tp)</f>
        <v>2.5666666666666664</v>
      </c>
      <c r="V40" s="32">
        <f aca="true" t="shared" si="9" ref="V40:V66">IF(AND(PouthpA_tp&gt;0,PmaxhpA_tp&gt;0),IF(PouthpA_tp/PmaxhpA_tp&lt;HPtd,Cd,0),0)</f>
        <v>0</v>
      </c>
      <c r="W40" s="35">
        <f aca="true" t="shared" si="10" ref="W40:W66">LhsysA_tp-LhpA_tp</f>
        <v>3.8632555021785278</v>
      </c>
      <c r="X40" s="35">
        <f>(LhpA_tp*COPA_tp+resA_tp)/LhsysA_tp</f>
        <v>1</v>
      </c>
      <c r="Z40" s="30"/>
      <c r="AA40" s="37">
        <v>2</v>
      </c>
      <c r="AB40" s="31">
        <f>HP*PouthpW_tp*hphrsW_tp</f>
        <v>17.922036254745734</v>
      </c>
      <c r="AC40" s="32">
        <f>HP*MIN(1*PoutmaxhpW_tp,1*PrsW_tp)</f>
        <v>5.974012084915245</v>
      </c>
      <c r="AD40" s="33">
        <f>IF(PouthpW_tp&gt;0,hrW_tp,0)</f>
        <v>3</v>
      </c>
      <c r="AE40" s="34">
        <f>AF40*AG40</f>
        <v>7</v>
      </c>
      <c r="AF40" s="33">
        <f>HP*IF(binlimit&lt;=HP*ToutW_tp,1,0)</f>
        <v>1</v>
      </c>
      <c r="AG40" s="23">
        <f>Php1*w1W_tp+Php2*w2W_tp+Php3*w3W_tp+Php4*w4W_tp</f>
        <v>7</v>
      </c>
      <c r="AH40" s="2"/>
      <c r="AI40" s="32">
        <f>IF(ToutW_tp&gt;=tst1,1+(ToutW_tp-tst1)/(tst1-tst2),IF(AND(ToutW_tp&gt;tst2,ToutW_tp&lt;tst1),1-(ToutW_tp-tst1)/(tst2-tst1),0))</f>
        <v>0</v>
      </c>
      <c r="AJ40" s="32">
        <f>IF(AND(ToutW_tp&lt;tst1,ToutW_tp&gt;=tst2),(ToutW_tp-tst1)/(tst2-tst1),IF(AND(ToutW_tp&gt;tst3,ToutW_tp&lt;tst2),1-(ToutW_tp-tst2)/(tst3-tst2),IF(ToutW_tp&gt;tst1,(ToutW_tp-tst1)/(tst2-tst1),0)))</f>
        <v>0</v>
      </c>
      <c r="AK40" s="35">
        <f>IF(AND(ToutW_tp&lt;tst2,ToutW_tp&gt;=tst3),(ToutW_tp-tst2)/(tst3-tst2),IF(WND(ToutW_tp&gt;tst4,ToutW_tp&lt;tst3),1-(ToutW_tp-tst3)/(tst4-tst3),IF(ToutW_tp&lt;4,-(ToutW_tp-tst4)/(tst4-tst3),0)))</f>
        <v>1</v>
      </c>
      <c r="AL40" s="32">
        <f>IF(AND(ToutW_tp&lt;tst3,ToutW_tp&gt;=tst4),(ToutW_tp-tst3)/(tst4-tst3),IF(AND(ToutW_tp&lt;tst4),1+(ToutW_tp-tst4)/(tst4-tst3),0))</f>
        <v>0</v>
      </c>
      <c r="AN40" s="34">
        <f>LhsysW_tp/hrW_tp</f>
        <v>5.974012084915245</v>
      </c>
      <c r="AO40" s="36">
        <f>IF(WC,LhW*fracW_tp,0)</f>
        <v>17.922036254745734</v>
      </c>
      <c r="AP40" s="51">
        <f aca="true" t="shared" si="11" ref="AP40:AP53">H97</f>
        <v>0.002245869204855355</v>
      </c>
      <c r="AQ40" s="61">
        <f aca="true" t="shared" si="12" ref="AQ40:AQ53">D97</f>
        <v>3</v>
      </c>
      <c r="AR40" s="28"/>
      <c r="AS40" s="50">
        <f>IF(COPW_tp&gt;0,LhpW_tp/COPW_tp,0)</f>
        <v>5.1205817870702095</v>
      </c>
      <c r="AT40" s="35">
        <f>(COP1*w1W_tp+COP2*w2W_tp+COP3*w3W_tp+COP4*w4W_tp)-CdW_tp*(PmaxhpW_tp-PouthpW_tp)</f>
        <v>3.5</v>
      </c>
      <c r="AU40" s="32">
        <f>IF(AND(PouthpW_tp&gt;0,PmaxhpW_tp&gt;0),IF(PouthpW_tp/PmaxhpW_tp&lt;HPtd,Cd,0),0)</f>
        <v>0</v>
      </c>
      <c r="AV40" s="35">
        <f>LhsysW_tp-LhpW_tp</f>
        <v>0</v>
      </c>
      <c r="AW40" s="35">
        <f>(LhpW_tp*COPW_tp+resW_tp)/LhsysW_tp</f>
        <v>3.5</v>
      </c>
      <c r="AX40" s="35"/>
      <c r="AY40" s="2"/>
      <c r="AZ40" s="2"/>
      <c r="BA40" s="37">
        <f aca="true" t="shared" si="13" ref="BA40:BA50">BA41-1</f>
        <v>-22</v>
      </c>
      <c r="BB40" s="31">
        <f>HP*PouthpC_tp*hphrsC_tp</f>
        <v>0</v>
      </c>
      <c r="BC40" s="32">
        <f>HP*MIN(1*PoutmaxhpC_tp,1*PrsC_tp)</f>
        <v>0</v>
      </c>
      <c r="BD40" s="33">
        <f>IF(PouthpC_tp&gt;0,hrC_tp,0)</f>
        <v>0</v>
      </c>
      <c r="BE40" s="34">
        <f>BF40*BG40</f>
        <v>0</v>
      </c>
      <c r="BF40" s="33">
        <f>HP*IF(binlimit&lt;=HP*ToutC_tp,1,0)</f>
        <v>0</v>
      </c>
      <c r="BG40" s="23">
        <f aca="true" t="shared" si="14" ref="BG40:BG77">Php1*w1C_tp+Php2*w2C_tp+Php3*w3C_tp+Php4*w4C_tp</f>
        <v>-4.0425</v>
      </c>
      <c r="BH40" s="2"/>
      <c r="BI40" s="32">
        <f aca="true" t="shared" si="15" ref="BI40:BI77">IF(ToutC_tp&gt;=tst1,1+(ToutC_tp-tst1)/(tst1-tst2),IF(AND(ToutC_tp&gt;tst2,ToutC_tp&lt;tst1),1-(ToutC_tp-tst1)/(tst2-tst1),0))</f>
        <v>0</v>
      </c>
      <c r="BJ40" s="32">
        <f aca="true" t="shared" si="16" ref="BJ40:BJ77">IF(AND(ToutC_tp&lt;tst1,ToutC_tp&gt;=tst2),(ToutC_tp-tst1)/(tst2-tst1),IF(AND(ToutC_tp&gt;tst3,ToutC_tp&lt;tst2),1-(ToutC_tp-tst2)/(tst3-tst2),IF(ToutC_tp&gt;tst1,(ToutC_tp-tst1)/(tst2-tst1),0)))</f>
        <v>0</v>
      </c>
      <c r="BK40" s="35">
        <f>IF(AND(ToutC_tp&lt;tst2,ToutC_tp&gt;=tst3),(ToutC_tp-tst2)/(tst3-tst2),IF(AND(ToutC_tp&gt;tst4,ToutC_tp&lt;tst3),1-(ToutC_tp-tst3)/(tst4-tst3),IF(ToutC_tp&lt;tst4,0,0)))</f>
        <v>0</v>
      </c>
      <c r="BL40" s="35">
        <f>IF(AND(ToutC_tp&lt;tst3,ToutC_tp&gt;=tst4),(ToutC_tp-tst3)/(tst4-tst3),IF(AND(ToutC_tp&gt;tst5,ToutC_tp&lt;tst4),1-(ToutC_tp-tst4)/(tst5-tst4),IF(ToutC_tp&lt;tst3,-(ToutC_tp-tst5)/(tst5-tst4),0)))</f>
        <v>-0.875</v>
      </c>
      <c r="BM40" s="32">
        <f>IF(AND(ToutC_tp&lt;tst4,ToutC_tp&gt;=tst5),(ToutC_tp-tst4)/(tst5-tst4),IF(AND(ToutC_tp&lt;tst5),1+(ToutC_tp-tst5)/(tst5-tst4),0))</f>
        <v>1.875</v>
      </c>
      <c r="BN40" s="34">
        <f>IF(hrC_tp&gt;0,LhsysC_tp/hrC_tp,0)</f>
        <v>0</v>
      </c>
      <c r="BO40" s="36">
        <f>IF(CC,LhC*fracC_tp,0)</f>
        <v>0</v>
      </c>
      <c r="BP40" s="51">
        <f>M63</f>
        <v>0</v>
      </c>
      <c r="BQ40" s="61">
        <f>I63</f>
        <v>0</v>
      </c>
      <c r="BR40" s="28"/>
      <c r="BS40" s="50">
        <f>IF(COPC_tp&gt;0,LhpC_tp/COPC_tp,0)</f>
        <v>0</v>
      </c>
      <c r="BT40" s="35">
        <f>(COP1*w1C_tp+COP2*w2C_tp+COP3*w3C_tp+COP4*w4C_tp+COP5*w5C_tp)-CdC_tp*(PmaxhpC_tp-PouthpC_tp)</f>
        <v>0.5500000000000003</v>
      </c>
      <c r="BU40" s="32">
        <f>IF(AND(PouthpC_tp&gt;0,PmaxhpC_tp&gt;0),IF(PouthpC_tp/PmaxhpC_tp&lt;HPtd,Cd,0),0)</f>
        <v>0</v>
      </c>
      <c r="BV40" s="35">
        <f>LhsysC_tp-LhpC_tp</f>
        <v>0</v>
      </c>
      <c r="BW40" s="35">
        <f>IF(LhsysC_tp&gt;0,(LhpC_tp*COPC_tp+resC_tp)/LhsysC_tp,0)</f>
        <v>0</v>
      </c>
      <c r="BX40" s="35"/>
      <c r="BY40" s="6"/>
    </row>
    <row r="41" spans="1:77" ht="12.75" hidden="1">
      <c r="A41" s="2"/>
      <c r="B41" s="18">
        <v>-9</v>
      </c>
      <c r="C41" s="31">
        <f aca="true" t="shared" si="17" ref="C41:C65">PouthpA_tp*hphrsA_tp</f>
        <v>92.86671880236844</v>
      </c>
      <c r="D41" s="32">
        <f aca="true" t="shared" si="18" ref="D41:D65">MIN(1*PoutmaxhpA_tp,1*PrsA_tp)</f>
        <v>3.7146687520947377</v>
      </c>
      <c r="E41" s="33">
        <f t="shared" si="0"/>
        <v>25</v>
      </c>
      <c r="F41" s="34">
        <f aca="true" t="shared" si="19" ref="F41:F65">G41*H41</f>
        <v>4.091111111111112</v>
      </c>
      <c r="G41" s="33">
        <f aca="true" t="shared" si="20" ref="G41:G65">IF(binlimit&lt;=ToutA_tp,1,0)</f>
        <v>1</v>
      </c>
      <c r="H41" s="23">
        <f t="shared" si="1"/>
        <v>4.091111111111112</v>
      </c>
      <c r="I41" s="2"/>
      <c r="J41" s="2"/>
      <c r="K41" s="32">
        <f t="shared" si="2"/>
        <v>0</v>
      </c>
      <c r="L41" s="32">
        <f t="shared" si="3"/>
        <v>0</v>
      </c>
      <c r="M41" s="35">
        <f t="shared" si="4"/>
        <v>-0.2222222222222222</v>
      </c>
      <c r="N41" s="32">
        <f>IF(AND(ToutA_tp&lt;tst3,ToutA_tp&gt;=tst4),(ToutA_tp-tst3)/(tst4-tst3),IF(AND(ToutA_tp&lt;tst4),1+(ToutA_tp-tst4)/(tst4-tst3),0))</f>
        <v>1.2222222222222223</v>
      </c>
      <c r="O41" s="34">
        <f aca="true" t="shared" si="21" ref="O41:O65">LhsysA_tp/hrA_tp</f>
        <v>3.7146687520947377</v>
      </c>
      <c r="P41" s="36">
        <f aca="true" t="shared" si="22" ref="P41:P65">Lh*fracA_tp</f>
        <v>92.86671880236844</v>
      </c>
      <c r="Q41" s="51">
        <f t="shared" si="5"/>
        <v>0.011637433433880757</v>
      </c>
      <c r="R41" s="61">
        <f t="shared" si="6"/>
        <v>25</v>
      </c>
      <c r="S41" s="28"/>
      <c r="T41" s="50">
        <f t="shared" si="7"/>
        <v>35.11766677400487</v>
      </c>
      <c r="U41" s="35">
        <f t="shared" si="8"/>
        <v>2.644444444444445</v>
      </c>
      <c r="V41" s="32">
        <f t="shared" si="9"/>
        <v>0</v>
      </c>
      <c r="W41" s="35">
        <f t="shared" si="10"/>
        <v>0</v>
      </c>
      <c r="X41" s="35">
        <f>(LhpA_tp*COPA_tp+resA_tp)/LhsysA_tp</f>
        <v>2.644444444444445</v>
      </c>
      <c r="Z41" s="2"/>
      <c r="AA41" s="18">
        <v>3</v>
      </c>
      <c r="AB41" s="31">
        <f>HP*PouthpW_tp*hphrsW_tp</f>
        <v>122.04053259183999</v>
      </c>
      <c r="AC41" s="32">
        <f aca="true" t="shared" si="23" ref="AC41:AC53">MIN(1*PoutmaxhpW_tp,1*PrsW_tp)</f>
        <v>5.547296935992727</v>
      </c>
      <c r="AD41" s="33">
        <f aca="true" t="shared" si="24" ref="AD41:AD53">IF(AC41&gt;0,hrW_tp,0)</f>
        <v>22</v>
      </c>
      <c r="AE41" s="34">
        <f aca="true" t="shared" si="25" ref="AE41:AE53">AF41*AG41</f>
        <v>7.204000000000001</v>
      </c>
      <c r="AF41" s="33">
        <f aca="true" t="shared" si="26" ref="AF41:AF53">HP*IF(binlimit&lt;=HP*ToutW_tp,1,0)</f>
        <v>1</v>
      </c>
      <c r="AG41" s="23">
        <f aca="true" t="shared" si="27" ref="AG41:AG53">Php1*w1W_tp+Php2*w2W_tp+Php3*w3W_tp+Php4*w4W_tp</f>
        <v>7.204000000000001</v>
      </c>
      <c r="AH41" s="2"/>
      <c r="AI41" s="32">
        <f aca="true" t="shared" si="28" ref="AI41:AI53">IF(ToutW_tp&gt;=tst1,1+(ToutW_tp-tst1)/(tst1-tst2),IF(AND(ToutW_tp&gt;tst2,ToutW_tp&lt;tst1),1-(ToutW_tp-tst1)/(tst2-tst1),0))</f>
        <v>0</v>
      </c>
      <c r="AJ41" s="32">
        <f aca="true" t="shared" si="29" ref="AJ41:AJ53">IF(AND(ToutW_tp&lt;tst1,ToutW_tp&gt;=tst2),(ToutW_tp-tst1)/(tst2-tst1),IF(AND(ToutW_tp&gt;tst3,ToutW_tp&lt;tst2),1-(ToutW_tp-tst2)/(tst3-tst2),IF(ToutW_tp&gt;tst1,(ToutW_tp-tst1)/(tst2-tst1),0)))</f>
        <v>0.19999999999999996</v>
      </c>
      <c r="AK41" s="35">
        <f>IF(AND(ToutW_tp&lt;tst2,ToutW_tp&gt;=tst3),(ToutW_tp-tst2)/(tst3-tst2),IF(WND(ToutW_tp&gt;tst4,ToutW_tp&lt;tst3),1-(ToutW_tp-tst3)/(tst4-tst3),IF(ToutW_tp&lt;4,-(ToutW_tp-tst4)/(tst4-tst3),0)))</f>
        <v>0.8</v>
      </c>
      <c r="AL41" s="32">
        <f aca="true" t="shared" si="30" ref="AL41:AL53">IF(AND(ToutW_tp&lt;tst3,ToutW_tp&gt;=tst4),(ToutW_tp-tst3)/(tst4-tst3),IF(AND(ToutW_tp&lt;tst4),1+(ToutW_tp-tst4)/(tst4-tst3),0))</f>
        <v>0</v>
      </c>
      <c r="AM41" s="23"/>
      <c r="AN41" s="34">
        <f aca="true" t="shared" si="31" ref="AN41:AN53">LhsysW_tp/hrW_tp</f>
        <v>5.547296935992727</v>
      </c>
      <c r="AO41" s="36">
        <f aca="true" t="shared" si="32" ref="AO41:AO53">IF(WC,LhW*fracW_tp,0)</f>
        <v>122.04053259183999</v>
      </c>
      <c r="AP41" s="51">
        <f t="shared" si="11"/>
        <v>0.015293299823538846</v>
      </c>
      <c r="AQ41" s="61">
        <f t="shared" si="12"/>
        <v>22</v>
      </c>
      <c r="AR41" s="27"/>
      <c r="AS41" s="50">
        <f aca="true" t="shared" si="33" ref="AS41:AS53">IF(COPW_tp&gt;0,LhpW_tp/COPW_tp,0)</f>
        <v>33.900147942177774</v>
      </c>
      <c r="AT41" s="35">
        <f aca="true" t="shared" si="34" ref="AT41:AT53">(COP1*w1W_tp+COP2*w2W_tp+COP3*w3W_tp+COP4*w4W_tp)-CdW_tp*(PmaxhpW_tp-PouthpW_tp)</f>
        <v>3.6</v>
      </c>
      <c r="AU41" s="32">
        <f aca="true" t="shared" si="35" ref="AU41:AU53">IF(AND(PouthpW_tp&gt;0,PmaxhpW_tp&gt;0),IF(PouthpW_tp/PmaxhpW_tp&lt;HPtd,Cd,0),0)</f>
        <v>0</v>
      </c>
      <c r="AV41" s="35">
        <f aca="true" t="shared" si="36" ref="AV41:AV53">LhsysW_tp-LhpW_tp</f>
        <v>0</v>
      </c>
      <c r="AW41" s="35">
        <f aca="true" t="shared" si="37" ref="AW41:AW53">(LhpW_tp*COPW_tp+resW_tp)/LhsysW_tp</f>
        <v>3.6</v>
      </c>
      <c r="AX41" s="35"/>
      <c r="AY41" s="2"/>
      <c r="AZ41" s="2"/>
      <c r="BA41" s="37">
        <f t="shared" si="13"/>
        <v>-21</v>
      </c>
      <c r="BB41" s="31">
        <f aca="true" t="shared" si="38" ref="BB41:BB77">HP*PouthpC_tp*hphrsC_tp</f>
        <v>0</v>
      </c>
      <c r="BC41" s="32">
        <f aca="true" t="shared" si="39" ref="BC41:BC77">MIN(1*PoutmaxhpC_tp,1*PrsC_tp)</f>
        <v>0</v>
      </c>
      <c r="BD41" s="33">
        <f aca="true" t="shared" si="40" ref="BD41:BD77">IF(BC41&gt;0,hrC_tp,0)</f>
        <v>0</v>
      </c>
      <c r="BE41" s="34">
        <f aca="true" t="shared" si="41" ref="BE41:BE77">BF41*BG41</f>
        <v>0</v>
      </c>
      <c r="BF41" s="33">
        <f aca="true" t="shared" si="42" ref="BF41:BF77">HP*IF(binlimit&lt;=HP*ToutC_tp,1,0)</f>
        <v>0</v>
      </c>
      <c r="BG41" s="23">
        <f t="shared" si="14"/>
        <v>-3.465</v>
      </c>
      <c r="BH41" s="2"/>
      <c r="BI41" s="32">
        <f t="shared" si="15"/>
        <v>0</v>
      </c>
      <c r="BJ41" s="32">
        <f t="shared" si="16"/>
        <v>0</v>
      </c>
      <c r="BK41" s="35">
        <f aca="true" t="shared" si="43" ref="BK41:BK77">IF(AND(ToutC_tp&lt;tst2,ToutC_tp&gt;=tst3),(ToutC_tp-tst2)/(tst3-tst2),IF(AND(ToutC_tp&gt;tst4,ToutC_tp&lt;tst3),1-(ToutC_tp-tst3)/(tst4-tst3),IF(ToutC_tp&lt;tst4,0,0)))</f>
        <v>0</v>
      </c>
      <c r="BL41" s="35">
        <f aca="true" t="shared" si="44" ref="BL41:BL77">IF(AND(ToutC_tp&lt;tst3,ToutC_tp&gt;=tst4),(ToutC_tp-tst3)/(tst4-tst3),IF(AND(ToutC_tp&gt;tst5,ToutC_tp&lt;tst4),1-(ToutC_tp-tst4)/(tst5-tst4),IF(ToutC_tp&lt;tst3,-(ToutC_tp-tst5)/(tst5-tst4),0)))</f>
        <v>-0.75</v>
      </c>
      <c r="BM41" s="32">
        <f aca="true" t="shared" si="45" ref="BM41:BM77">IF(AND(ToutC_tp&lt;tst4,ToutC_tp&gt;=tst5),(ToutC_tp-tst4)/(tst5-tst4),IF(AND(ToutC_tp&lt;tst5),1+(ToutC_tp-tst5)/(tst5-tst4),0))</f>
        <v>1.75</v>
      </c>
      <c r="BN41" s="34">
        <f aca="true" t="shared" si="46" ref="BN41:BN77">IF(hrC_tp&gt;0,LhsysC_tp/hrC_tp,0)</f>
        <v>4.728649064178259</v>
      </c>
      <c r="BO41" s="36">
        <f aca="true" t="shared" si="47" ref="BO41:BO77">IF(CC,LhC*fracC_tp,0)</f>
        <v>28.371894385069556</v>
      </c>
      <c r="BP41" s="60">
        <f aca="true" t="shared" si="48" ref="BP41:BP77">J74</f>
        <v>0.0023702501574828366</v>
      </c>
      <c r="BQ41" s="61">
        <f aca="true" t="shared" si="49" ref="BQ41:BQ77">F74</f>
        <v>6</v>
      </c>
      <c r="BR41" s="2"/>
      <c r="BS41" s="50">
        <f aca="true" t="shared" si="50" ref="BS41:BS77">IF(COPC_tp&gt;0,LhpC_tp/COPC_tp,0)</f>
        <v>0</v>
      </c>
      <c r="BT41" s="35">
        <f aca="true" t="shared" si="51" ref="BT41:BT77">(COP1*w1C_tp+COP2*w2C_tp+COP3*w3C_tp+COP4*w4C_tp+COP5*w5C_tp)-CdC_tp*(PmaxhpC_tp-PouthpC_tp)</f>
        <v>0.7000000000000006</v>
      </c>
      <c r="BU41" s="32">
        <f aca="true" t="shared" si="52" ref="BU41:BU77">IF(AND(PouthpC_tp&gt;0,PmaxhpC_tp&gt;0),IF(PouthpC_tp/PmaxhpC_tp&lt;HPtd,Cd,0),0)</f>
        <v>0</v>
      </c>
      <c r="BV41" s="35">
        <f aca="true" t="shared" si="53" ref="BV41:BV77">LhsysC_tp-LhpC_tp</f>
        <v>28.371894385069556</v>
      </c>
      <c r="BW41" s="35">
        <f aca="true" t="shared" si="54" ref="BW41:BW77">IF(LhsysC_tp&gt;0,(LhpC_tp*COPC_tp+resC_tp)/LhsysC_tp,0)</f>
        <v>1</v>
      </c>
      <c r="BX41" s="35"/>
      <c r="BY41" s="6"/>
    </row>
    <row r="42" spans="1:77" ht="12.75" hidden="1">
      <c r="A42" s="2"/>
      <c r="B42" s="18">
        <v>-8</v>
      </c>
      <c r="C42" s="31">
        <f t="shared" si="17"/>
        <v>82.0198860462518</v>
      </c>
      <c r="D42" s="32">
        <f t="shared" si="18"/>
        <v>3.5660820020109476</v>
      </c>
      <c r="E42" s="33">
        <f t="shared" si="0"/>
        <v>23</v>
      </c>
      <c r="F42" s="34">
        <f t="shared" si="19"/>
        <v>4.355555555555556</v>
      </c>
      <c r="G42" s="33">
        <f t="shared" si="20"/>
        <v>1</v>
      </c>
      <c r="H42" s="23">
        <f t="shared" si="1"/>
        <v>4.355555555555556</v>
      </c>
      <c r="I42" s="2"/>
      <c r="J42" s="2"/>
      <c r="K42" s="32">
        <f t="shared" si="2"/>
        <v>0</v>
      </c>
      <c r="L42" s="32">
        <f t="shared" si="3"/>
        <v>0</v>
      </c>
      <c r="M42" s="35">
        <f t="shared" si="4"/>
        <v>-0.1111111111111111</v>
      </c>
      <c r="N42" s="32">
        <f>IF(AND(ToutA_tp&lt;tst3,ToutA_tp&gt;=tst4),(ToutA_tp-tst3)/(tst4-tst3),IF(AND(ToutA_tp&lt;tst4),1+(ToutA_tp-tst4)/(tst4-tst3),0))</f>
        <v>1.1111111111111112</v>
      </c>
      <c r="O42" s="34">
        <f t="shared" si="21"/>
        <v>3.5660820020109476</v>
      </c>
      <c r="P42" s="36">
        <f t="shared" si="22"/>
        <v>82.0198860462518</v>
      </c>
      <c r="Q42" s="51">
        <f t="shared" si="5"/>
        <v>0.010278181208803484</v>
      </c>
      <c r="R42" s="61">
        <f t="shared" si="6"/>
        <v>23</v>
      </c>
      <c r="S42" s="28"/>
      <c r="T42" s="50">
        <f t="shared" si="7"/>
        <v>30.12975405780678</v>
      </c>
      <c r="U42" s="35">
        <f t="shared" si="8"/>
        <v>2.7222222222222223</v>
      </c>
      <c r="V42" s="32">
        <f t="shared" si="9"/>
        <v>0</v>
      </c>
      <c r="W42" s="35">
        <f t="shared" si="10"/>
        <v>0</v>
      </c>
      <c r="X42" s="35">
        <f>(LhpA_tp*COPA_tp+resA_tp)/LhsysA_tp</f>
        <v>2.7222222222222223</v>
      </c>
      <c r="Z42" s="2"/>
      <c r="AA42" s="18">
        <v>4</v>
      </c>
      <c r="AB42" s="31">
        <f aca="true" t="shared" si="55" ref="AB42:AB53">HP*PouthpW_tp*hphrsW_tp</f>
        <v>322.5966525854232</v>
      </c>
      <c r="AC42" s="32">
        <f t="shared" si="23"/>
        <v>5.1205817870702095</v>
      </c>
      <c r="AD42" s="33">
        <f t="shared" si="24"/>
        <v>63</v>
      </c>
      <c r="AE42" s="34">
        <f t="shared" si="25"/>
        <v>7.408</v>
      </c>
      <c r="AF42" s="33">
        <f t="shared" si="26"/>
        <v>1</v>
      </c>
      <c r="AG42" s="23">
        <f t="shared" si="27"/>
        <v>7.408</v>
      </c>
      <c r="AH42" s="2"/>
      <c r="AI42" s="32">
        <f t="shared" si="28"/>
        <v>0</v>
      </c>
      <c r="AJ42" s="32">
        <f t="shared" si="29"/>
        <v>0.4</v>
      </c>
      <c r="AK42" s="35">
        <f>IF(AND(ToutW_tp&lt;tst2,ToutW_tp&gt;=tst3),(ToutW_tp-tst2)/(tst3-tst2),IF(WND(ToutW_tp&gt;tst4,ToutW_tp&lt;tst3),1-(ToutW_tp-tst3)/(tst4-tst3),IF(ToutW_tp&lt;4,-(ToutW_tp-tst4)/(tst4-tst3),0)))</f>
        <v>0.6</v>
      </c>
      <c r="AL42" s="32">
        <f t="shared" si="30"/>
        <v>0</v>
      </c>
      <c r="AM42" s="23"/>
      <c r="AN42" s="34">
        <f t="shared" si="31"/>
        <v>5.1205817870702095</v>
      </c>
      <c r="AO42" s="36">
        <f t="shared" si="32"/>
        <v>322.5966525854232</v>
      </c>
      <c r="AP42" s="51">
        <f t="shared" si="11"/>
        <v>0.04042564568739639</v>
      </c>
      <c r="AQ42" s="61">
        <f t="shared" si="12"/>
        <v>63</v>
      </c>
      <c r="AR42" s="27"/>
      <c r="AS42" s="50">
        <f t="shared" si="33"/>
        <v>87.1882844825468</v>
      </c>
      <c r="AT42" s="35">
        <f t="shared" si="34"/>
        <v>3.7</v>
      </c>
      <c r="AU42" s="32">
        <f t="shared" si="35"/>
        <v>0</v>
      </c>
      <c r="AV42" s="35">
        <f t="shared" si="36"/>
        <v>0</v>
      </c>
      <c r="AW42" s="35">
        <f t="shared" si="37"/>
        <v>3.6999999999999997</v>
      </c>
      <c r="AX42" s="35"/>
      <c r="AY42" s="2"/>
      <c r="AZ42" s="2"/>
      <c r="BA42" s="37">
        <f t="shared" si="13"/>
        <v>-20</v>
      </c>
      <c r="BB42" s="31">
        <f t="shared" si="38"/>
        <v>0</v>
      </c>
      <c r="BC42" s="32">
        <f t="shared" si="39"/>
        <v>0</v>
      </c>
      <c r="BD42" s="33">
        <f t="shared" si="40"/>
        <v>0</v>
      </c>
      <c r="BE42" s="34">
        <f t="shared" si="41"/>
        <v>0</v>
      </c>
      <c r="BF42" s="33">
        <f t="shared" si="42"/>
        <v>0</v>
      </c>
      <c r="BG42" s="23">
        <f t="shared" si="14"/>
        <v>-2.8875</v>
      </c>
      <c r="BH42" s="2"/>
      <c r="BI42" s="32">
        <f t="shared" si="15"/>
        <v>0</v>
      </c>
      <c r="BJ42" s="32">
        <f t="shared" si="16"/>
        <v>0</v>
      </c>
      <c r="BK42" s="35">
        <f t="shared" si="43"/>
        <v>0</v>
      </c>
      <c r="BL42" s="35">
        <f t="shared" si="44"/>
        <v>-0.625</v>
      </c>
      <c r="BM42" s="32">
        <f t="shared" si="45"/>
        <v>1.625</v>
      </c>
      <c r="BN42" s="34">
        <f t="shared" si="46"/>
        <v>4.600847738119388</v>
      </c>
      <c r="BO42" s="36">
        <f t="shared" si="47"/>
        <v>59.81102059555204</v>
      </c>
      <c r="BP42" s="60">
        <f t="shared" si="48"/>
        <v>0.004996743575234088</v>
      </c>
      <c r="BQ42" s="61">
        <f t="shared" si="49"/>
        <v>13</v>
      </c>
      <c r="BR42" s="2"/>
      <c r="BS42" s="50">
        <f t="shared" si="50"/>
        <v>0</v>
      </c>
      <c r="BT42" s="35">
        <f t="shared" si="51"/>
        <v>0.8500000000000001</v>
      </c>
      <c r="BU42" s="32">
        <f t="shared" si="52"/>
        <v>0</v>
      </c>
      <c r="BV42" s="35">
        <f t="shared" si="53"/>
        <v>59.81102059555204</v>
      </c>
      <c r="BW42" s="35">
        <f t="shared" si="54"/>
        <v>1</v>
      </c>
      <c r="BX42" s="35"/>
      <c r="BY42" s="6"/>
    </row>
    <row r="43" spans="1:77" ht="12.75" hidden="1">
      <c r="A43" s="30"/>
      <c r="B43" s="18">
        <v>-7</v>
      </c>
      <c r="C43" s="31">
        <f t="shared" si="17"/>
        <v>82.0198860462518</v>
      </c>
      <c r="D43" s="32">
        <f t="shared" si="18"/>
        <v>3.4174952519271584</v>
      </c>
      <c r="E43" s="33">
        <f t="shared" si="0"/>
        <v>24</v>
      </c>
      <c r="F43" s="34">
        <f t="shared" si="19"/>
        <v>4.62</v>
      </c>
      <c r="G43" s="33">
        <f t="shared" si="20"/>
        <v>1</v>
      </c>
      <c r="H43" s="38">
        <f t="shared" si="1"/>
        <v>4.62</v>
      </c>
      <c r="I43" s="2"/>
      <c r="J43" s="2"/>
      <c r="K43" s="32">
        <f t="shared" si="2"/>
        <v>0</v>
      </c>
      <c r="L43" s="32">
        <f t="shared" si="3"/>
        <v>0</v>
      </c>
      <c r="M43" s="35">
        <f t="shared" si="4"/>
        <v>0</v>
      </c>
      <c r="N43" s="32">
        <f aca="true" t="shared" si="56" ref="N43:N65">IF(AND(ToutA_tp&lt;tst3,ToutA_tp&gt;=tst4),(ToutA_tp-tst3)/(tst4-tst3),IF(AND(ToutA_tp&lt;tst4),1+(ToutA_tp-tst4)/(tst4-tst3),0))</f>
        <v>1</v>
      </c>
      <c r="O43" s="34">
        <f t="shared" si="21"/>
        <v>3.4174952519271584</v>
      </c>
      <c r="P43" s="36">
        <f t="shared" si="22"/>
        <v>82.0198860462518</v>
      </c>
      <c r="Q43" s="51">
        <f t="shared" si="5"/>
        <v>0.010278181208803484</v>
      </c>
      <c r="R43" s="61">
        <f t="shared" si="6"/>
        <v>24</v>
      </c>
      <c r="S43" s="28"/>
      <c r="T43" s="50">
        <f t="shared" si="7"/>
        <v>29.29281644508993</v>
      </c>
      <c r="U43" s="35">
        <f t="shared" si="8"/>
        <v>2.8</v>
      </c>
      <c r="V43" s="32">
        <f t="shared" si="9"/>
        <v>0</v>
      </c>
      <c r="W43" s="35">
        <f t="shared" si="10"/>
        <v>0</v>
      </c>
      <c r="X43" s="35">
        <f>(LhpA_tp*COPA_tp+resA_tp)/LhsysA_tp</f>
        <v>2.8</v>
      </c>
      <c r="Z43" s="30"/>
      <c r="AA43" s="18">
        <v>5</v>
      </c>
      <c r="AB43" s="31">
        <f t="shared" si="55"/>
        <v>295.7135982033046</v>
      </c>
      <c r="AC43" s="32">
        <f t="shared" si="23"/>
        <v>4.693866638147693</v>
      </c>
      <c r="AD43" s="33">
        <f t="shared" si="24"/>
        <v>63</v>
      </c>
      <c r="AE43" s="34">
        <f t="shared" si="25"/>
        <v>7.612</v>
      </c>
      <c r="AF43" s="33">
        <f t="shared" si="26"/>
        <v>1</v>
      </c>
      <c r="AG43" s="23">
        <f t="shared" si="27"/>
        <v>7.612</v>
      </c>
      <c r="AH43" s="2"/>
      <c r="AI43" s="32">
        <f t="shared" si="28"/>
        <v>0</v>
      </c>
      <c r="AJ43" s="32">
        <f t="shared" si="29"/>
        <v>0.6</v>
      </c>
      <c r="AK43" s="35">
        <f>IF(AND(ToutW_tp&lt;tst2,ToutW_tp&gt;=tst3),(ToutW_tp-tst2)/(tst3-tst2),IF(WND(ToutW_tp&gt;tst4,ToutW_tp&lt;tst3),1-(ToutW_tp-tst3)/(tst4-tst3),IF(ToutW_tp&lt;4,-(ToutW_tp-tst4)/(tst4-tst3),0)))</f>
        <v>0.4</v>
      </c>
      <c r="AL43" s="32">
        <f t="shared" si="30"/>
        <v>0</v>
      </c>
      <c r="AM43" s="23"/>
      <c r="AN43" s="34">
        <f t="shared" si="31"/>
        <v>4.693866638147693</v>
      </c>
      <c r="AO43" s="36">
        <f t="shared" si="32"/>
        <v>295.7135982033046</v>
      </c>
      <c r="AP43" s="51">
        <f t="shared" si="11"/>
        <v>0.037056841880113364</v>
      </c>
      <c r="AQ43" s="61">
        <f t="shared" si="12"/>
        <v>63</v>
      </c>
      <c r="AR43" s="27"/>
      <c r="AS43" s="50">
        <f t="shared" si="33"/>
        <v>77.81936794823807</v>
      </c>
      <c r="AT43" s="35">
        <f t="shared" si="34"/>
        <v>3.8</v>
      </c>
      <c r="AU43" s="32">
        <f t="shared" si="35"/>
        <v>0</v>
      </c>
      <c r="AV43" s="35">
        <f t="shared" si="36"/>
        <v>0</v>
      </c>
      <c r="AW43" s="35">
        <f t="shared" si="37"/>
        <v>3.8</v>
      </c>
      <c r="AX43" s="35"/>
      <c r="AY43" s="2"/>
      <c r="AZ43" s="2"/>
      <c r="BA43" s="37">
        <f t="shared" si="13"/>
        <v>-19</v>
      </c>
      <c r="BB43" s="31">
        <f t="shared" si="38"/>
        <v>0</v>
      </c>
      <c r="BC43" s="32">
        <f t="shared" si="39"/>
        <v>0</v>
      </c>
      <c r="BD43" s="33">
        <f t="shared" si="40"/>
        <v>0</v>
      </c>
      <c r="BE43" s="34">
        <f t="shared" si="41"/>
        <v>0</v>
      </c>
      <c r="BF43" s="33">
        <f t="shared" si="42"/>
        <v>0</v>
      </c>
      <c r="BG43" s="38">
        <f t="shared" si="14"/>
        <v>-2.31</v>
      </c>
      <c r="BH43" s="2"/>
      <c r="BI43" s="32">
        <f t="shared" si="15"/>
        <v>0</v>
      </c>
      <c r="BJ43" s="32">
        <f t="shared" si="16"/>
        <v>0</v>
      </c>
      <c r="BK43" s="35">
        <f t="shared" si="43"/>
        <v>0</v>
      </c>
      <c r="BL43" s="35">
        <f t="shared" si="44"/>
        <v>-0.5</v>
      </c>
      <c r="BM43" s="32">
        <f t="shared" si="45"/>
        <v>1.5</v>
      </c>
      <c r="BN43" s="34">
        <f t="shared" si="46"/>
        <v>4.473046412060516</v>
      </c>
      <c r="BO43" s="36">
        <f t="shared" si="47"/>
        <v>76.04178900502876</v>
      </c>
      <c r="BP43" s="60">
        <f t="shared" si="48"/>
        <v>0.00635269749415445</v>
      </c>
      <c r="BQ43" s="61">
        <f t="shared" si="49"/>
        <v>17</v>
      </c>
      <c r="BR43" s="2"/>
      <c r="BS43" s="50">
        <f t="shared" si="50"/>
        <v>0</v>
      </c>
      <c r="BT43" s="35">
        <f t="shared" si="51"/>
        <v>1.0000000000000004</v>
      </c>
      <c r="BU43" s="32">
        <f t="shared" si="52"/>
        <v>0</v>
      </c>
      <c r="BV43" s="35">
        <f t="shared" si="53"/>
        <v>76.04178900502876</v>
      </c>
      <c r="BW43" s="35">
        <f t="shared" si="54"/>
        <v>1</v>
      </c>
      <c r="BX43" s="35"/>
      <c r="BY43" s="6"/>
    </row>
    <row r="44" spans="1:77" ht="12.75" hidden="1">
      <c r="A44" s="2"/>
      <c r="B44" s="18">
        <v>-6</v>
      </c>
      <c r="C44" s="31">
        <f t="shared" si="17"/>
        <v>88.26052954977098</v>
      </c>
      <c r="D44" s="32">
        <f t="shared" si="18"/>
        <v>3.2689085018433697</v>
      </c>
      <c r="E44" s="33">
        <f t="shared" si="0"/>
        <v>27</v>
      </c>
      <c r="F44" s="34">
        <f t="shared" si="19"/>
        <v>4.884444444444444</v>
      </c>
      <c r="G44" s="33">
        <f t="shared" si="20"/>
        <v>1</v>
      </c>
      <c r="H44" s="23">
        <f t="shared" si="1"/>
        <v>4.884444444444444</v>
      </c>
      <c r="I44" s="2"/>
      <c r="J44" s="2"/>
      <c r="K44" s="32">
        <f t="shared" si="2"/>
        <v>0</v>
      </c>
      <c r="L44" s="32">
        <f t="shared" si="3"/>
        <v>0</v>
      </c>
      <c r="M44" s="35">
        <f t="shared" si="4"/>
        <v>0.11111111111111116</v>
      </c>
      <c r="N44" s="32">
        <f t="shared" si="56"/>
        <v>0.8888888888888888</v>
      </c>
      <c r="O44" s="34">
        <f t="shared" si="21"/>
        <v>3.2689085018433697</v>
      </c>
      <c r="P44" s="36">
        <f t="shared" si="22"/>
        <v>88.26052954977098</v>
      </c>
      <c r="Q44" s="51">
        <f t="shared" si="5"/>
        <v>0.011060216735560274</v>
      </c>
      <c r="R44" s="61">
        <f t="shared" si="6"/>
        <v>27</v>
      </c>
      <c r="S44" s="28"/>
      <c r="T44" s="50">
        <f t="shared" si="7"/>
        <v>30.669682082932006</v>
      </c>
      <c r="U44" s="35">
        <f t="shared" si="8"/>
        <v>2.8777777777777773</v>
      </c>
      <c r="V44" s="32">
        <f t="shared" si="9"/>
        <v>0</v>
      </c>
      <c r="W44" s="35">
        <f t="shared" si="10"/>
        <v>0</v>
      </c>
      <c r="X44" s="35">
        <f aca="true" t="shared" si="57" ref="X44:X65">(LhpA_tp*COPA_tp+resA_tp)/LhsysA_tp</f>
        <v>2.8777777777777773</v>
      </c>
      <c r="Z44" s="2"/>
      <c r="AA44" s="18">
        <v>6</v>
      </c>
      <c r="AB44" s="31">
        <f t="shared" si="55"/>
        <v>746.7515106144054</v>
      </c>
      <c r="AC44" s="32">
        <f t="shared" si="23"/>
        <v>4.267151489225174</v>
      </c>
      <c r="AD44" s="33">
        <f t="shared" si="24"/>
        <v>175</v>
      </c>
      <c r="AE44" s="34">
        <f t="shared" si="25"/>
        <v>7.816000000000001</v>
      </c>
      <c r="AF44" s="33">
        <f t="shared" si="26"/>
        <v>1</v>
      </c>
      <c r="AG44" s="23">
        <f t="shared" si="27"/>
        <v>7.816000000000001</v>
      </c>
      <c r="AH44" s="2"/>
      <c r="AI44" s="32">
        <f t="shared" si="28"/>
        <v>0</v>
      </c>
      <c r="AJ44" s="32">
        <f t="shared" si="29"/>
        <v>0.8</v>
      </c>
      <c r="AK44" s="35">
        <f>IF(AND(ToutW_tp&lt;tst2,ToutW_tp&gt;=tst3),(ToutW_tp-tst2)/(tst3-tst2),IF(WND(ToutW_tp&gt;tst4,ToutW_tp&lt;tst3),1-(ToutW_tp-tst3)/(tst4-tst3),IF(ToutW_tp&lt;4,-(ToutW_tp-tst4)/(tst4-tst3),0)))</f>
        <v>0.2</v>
      </c>
      <c r="AL44" s="32">
        <f t="shared" si="30"/>
        <v>0</v>
      </c>
      <c r="AM44" s="23"/>
      <c r="AN44" s="34">
        <f t="shared" si="31"/>
        <v>4.267151489225174</v>
      </c>
      <c r="AO44" s="36">
        <f t="shared" si="32"/>
        <v>746.7515106144056</v>
      </c>
      <c r="AP44" s="51">
        <f t="shared" si="11"/>
        <v>0.0935778835356398</v>
      </c>
      <c r="AQ44" s="61">
        <f t="shared" si="12"/>
        <v>175</v>
      </c>
      <c r="AR44" s="27"/>
      <c r="AS44" s="50">
        <f t="shared" si="33"/>
        <v>191.47474631138599</v>
      </c>
      <c r="AT44" s="35">
        <f t="shared" si="34"/>
        <v>3.9000000000000004</v>
      </c>
      <c r="AU44" s="32">
        <f t="shared" si="35"/>
        <v>0</v>
      </c>
      <c r="AV44" s="35">
        <f t="shared" si="36"/>
        <v>0</v>
      </c>
      <c r="AW44" s="35">
        <f t="shared" si="37"/>
        <v>3.8999999999999995</v>
      </c>
      <c r="AX44" s="35"/>
      <c r="AY44" s="2"/>
      <c r="AZ44" s="2"/>
      <c r="BA44" s="37">
        <f t="shared" si="13"/>
        <v>-18</v>
      </c>
      <c r="BB44" s="31">
        <f t="shared" si="38"/>
        <v>0</v>
      </c>
      <c r="BC44" s="32">
        <f t="shared" si="39"/>
        <v>0</v>
      </c>
      <c r="BD44" s="33">
        <f t="shared" si="40"/>
        <v>0</v>
      </c>
      <c r="BE44" s="34">
        <f t="shared" si="41"/>
        <v>0</v>
      </c>
      <c r="BF44" s="33">
        <f t="shared" si="42"/>
        <v>0</v>
      </c>
      <c r="BG44" s="23">
        <f t="shared" si="14"/>
        <v>-1.7325</v>
      </c>
      <c r="BH44" s="2"/>
      <c r="BI44" s="32">
        <f t="shared" si="15"/>
        <v>0</v>
      </c>
      <c r="BJ44" s="32">
        <f t="shared" si="16"/>
        <v>0</v>
      </c>
      <c r="BK44" s="35">
        <f t="shared" si="43"/>
        <v>0</v>
      </c>
      <c r="BL44" s="35">
        <f t="shared" si="44"/>
        <v>-0.375</v>
      </c>
      <c r="BM44" s="32">
        <f t="shared" si="45"/>
        <v>1.375</v>
      </c>
      <c r="BN44" s="34">
        <f t="shared" si="46"/>
        <v>4.345245086001644</v>
      </c>
      <c r="BO44" s="36">
        <f t="shared" si="47"/>
        <v>82.55965663403124</v>
      </c>
      <c r="BP44" s="60">
        <f t="shared" si="48"/>
        <v>0.006897214422224832</v>
      </c>
      <c r="BQ44" s="61">
        <f t="shared" si="49"/>
        <v>19</v>
      </c>
      <c r="BR44" s="2"/>
      <c r="BS44" s="50">
        <f t="shared" si="50"/>
        <v>0</v>
      </c>
      <c r="BT44" s="35">
        <f t="shared" si="51"/>
        <v>1.1500000000000004</v>
      </c>
      <c r="BU44" s="32">
        <f t="shared" si="52"/>
        <v>0</v>
      </c>
      <c r="BV44" s="35">
        <f t="shared" si="53"/>
        <v>82.55965663403124</v>
      </c>
      <c r="BW44" s="35">
        <f t="shared" si="54"/>
        <v>1</v>
      </c>
      <c r="BX44" s="35"/>
      <c r="BY44" s="6"/>
    </row>
    <row r="45" spans="1:77" ht="12.75" hidden="1">
      <c r="A45" s="2"/>
      <c r="B45" s="18">
        <v>-5</v>
      </c>
      <c r="C45" s="31">
        <f t="shared" si="17"/>
        <v>212.1818791196514</v>
      </c>
      <c r="D45" s="32">
        <f t="shared" si="18"/>
        <v>3.1203217517595796</v>
      </c>
      <c r="E45" s="33">
        <f t="shared" si="0"/>
        <v>68</v>
      </c>
      <c r="F45" s="34">
        <f t="shared" si="19"/>
        <v>5.148888888888889</v>
      </c>
      <c r="G45" s="33">
        <f t="shared" si="20"/>
        <v>1</v>
      </c>
      <c r="H45" s="23">
        <f t="shared" si="1"/>
        <v>5.148888888888889</v>
      </c>
      <c r="I45" s="2"/>
      <c r="J45" s="2"/>
      <c r="K45" s="32">
        <f t="shared" si="2"/>
        <v>0</v>
      </c>
      <c r="L45" s="32">
        <f t="shared" si="3"/>
        <v>0</v>
      </c>
      <c r="M45" s="35">
        <f t="shared" si="4"/>
        <v>0.2222222222222222</v>
      </c>
      <c r="N45" s="32">
        <f t="shared" si="56"/>
        <v>0.7777777777777778</v>
      </c>
      <c r="O45" s="34">
        <f t="shared" si="21"/>
        <v>3.1203217517595796</v>
      </c>
      <c r="P45" s="36">
        <f t="shared" si="22"/>
        <v>212.18187911965143</v>
      </c>
      <c r="Q45" s="51">
        <f t="shared" si="5"/>
        <v>0.026589207909730756</v>
      </c>
      <c r="R45" s="61">
        <f t="shared" si="6"/>
        <v>68</v>
      </c>
      <c r="S45" s="28"/>
      <c r="T45" s="50">
        <f t="shared" si="7"/>
        <v>71.79086135627304</v>
      </c>
      <c r="U45" s="35">
        <f t="shared" si="8"/>
        <v>2.9555555555555553</v>
      </c>
      <c r="V45" s="32">
        <f t="shared" si="9"/>
        <v>0</v>
      </c>
      <c r="W45" s="35">
        <f t="shared" si="10"/>
        <v>0</v>
      </c>
      <c r="X45" s="35">
        <f t="shared" si="57"/>
        <v>2.955555555555555</v>
      </c>
      <c r="Z45" s="2"/>
      <c r="AA45" s="18">
        <v>7</v>
      </c>
      <c r="AB45" s="31">
        <f t="shared" si="55"/>
        <v>622.1506871290305</v>
      </c>
      <c r="AC45" s="32">
        <f t="shared" si="23"/>
        <v>3.8404363403026576</v>
      </c>
      <c r="AD45" s="33">
        <f t="shared" si="24"/>
        <v>162</v>
      </c>
      <c r="AE45" s="34">
        <f t="shared" si="25"/>
        <v>8.02</v>
      </c>
      <c r="AF45" s="33">
        <f t="shared" si="26"/>
        <v>1</v>
      </c>
      <c r="AG45" s="23">
        <f t="shared" si="27"/>
        <v>8.02</v>
      </c>
      <c r="AH45" s="2"/>
      <c r="AI45" s="32">
        <f t="shared" si="28"/>
        <v>0</v>
      </c>
      <c r="AJ45" s="32">
        <f t="shared" si="29"/>
        <v>1</v>
      </c>
      <c r="AK45" s="35">
        <f>IF(AND(ToutW_tp&lt;tst2,ToutW_tp&gt;=tst3),(ToutW_tp-tst2)/(tst3-tst2),IF(AND(ToutW_tp&gt;tst4,ToutW_tp&lt;tst3),1-(ToutW_tp-tst3)/(tst4-tst3),IF(ToutW_tp&lt;4,-(ToutW_tp-tst4)/(tst4-tst3),0)))</f>
        <v>0</v>
      </c>
      <c r="AL45" s="32">
        <f t="shared" si="30"/>
        <v>0</v>
      </c>
      <c r="AM45" s="23"/>
      <c r="AN45" s="34">
        <f t="shared" si="31"/>
        <v>3.8404363403026576</v>
      </c>
      <c r="AO45" s="36">
        <f t="shared" si="32"/>
        <v>622.1506871290305</v>
      </c>
      <c r="AP45" s="51">
        <f t="shared" si="11"/>
        <v>0.07796374525426447</v>
      </c>
      <c r="AQ45" s="61">
        <f t="shared" si="12"/>
        <v>162</v>
      </c>
      <c r="AR45" s="27"/>
      <c r="AS45" s="50">
        <f t="shared" si="33"/>
        <v>155.53767178225763</v>
      </c>
      <c r="AT45" s="35">
        <f t="shared" si="34"/>
        <v>4</v>
      </c>
      <c r="AU45" s="32">
        <f t="shared" si="35"/>
        <v>0</v>
      </c>
      <c r="AV45" s="35">
        <f t="shared" si="36"/>
        <v>0</v>
      </c>
      <c r="AW45" s="35">
        <f t="shared" si="37"/>
        <v>4</v>
      </c>
      <c r="AX45" s="35"/>
      <c r="AY45" s="2"/>
      <c r="AZ45" s="2"/>
      <c r="BA45" s="37">
        <f t="shared" si="13"/>
        <v>-17</v>
      </c>
      <c r="BB45" s="31">
        <f t="shared" si="38"/>
        <v>0</v>
      </c>
      <c r="BC45" s="32">
        <f t="shared" si="39"/>
        <v>0</v>
      </c>
      <c r="BD45" s="33">
        <f t="shared" si="40"/>
        <v>0</v>
      </c>
      <c r="BE45" s="34">
        <f t="shared" si="41"/>
        <v>0</v>
      </c>
      <c r="BF45" s="33">
        <f t="shared" si="42"/>
        <v>0</v>
      </c>
      <c r="BG45" s="23">
        <f t="shared" si="14"/>
        <v>-1.155</v>
      </c>
      <c r="BH45" s="2"/>
      <c r="BI45" s="32">
        <f t="shared" si="15"/>
        <v>0</v>
      </c>
      <c r="BJ45" s="32">
        <f t="shared" si="16"/>
        <v>0</v>
      </c>
      <c r="BK45" s="35">
        <f t="shared" si="43"/>
        <v>0</v>
      </c>
      <c r="BL45" s="35">
        <f t="shared" si="44"/>
        <v>-0.25</v>
      </c>
      <c r="BM45" s="32">
        <f t="shared" si="45"/>
        <v>1.25</v>
      </c>
      <c r="BN45" s="34">
        <f t="shared" si="46"/>
        <v>4.217443759942771</v>
      </c>
      <c r="BO45" s="36">
        <f t="shared" si="47"/>
        <v>109.65353775851204</v>
      </c>
      <c r="BP45" s="60">
        <f t="shared" si="48"/>
        <v>0.009160696554595827</v>
      </c>
      <c r="BQ45" s="61">
        <f t="shared" si="49"/>
        <v>26</v>
      </c>
      <c r="BR45" s="2"/>
      <c r="BS45" s="50">
        <f t="shared" si="50"/>
        <v>0</v>
      </c>
      <c r="BT45" s="35">
        <f t="shared" si="51"/>
        <v>1.3</v>
      </c>
      <c r="BU45" s="32">
        <f t="shared" si="52"/>
        <v>0</v>
      </c>
      <c r="BV45" s="35">
        <f t="shared" si="53"/>
        <v>109.65353775851204</v>
      </c>
      <c r="BW45" s="35">
        <f t="shared" si="54"/>
        <v>1</v>
      </c>
      <c r="BX45" s="35"/>
      <c r="BY45" s="6"/>
    </row>
    <row r="46" spans="1:77" ht="12.75" hidden="1">
      <c r="A46" s="2"/>
      <c r="B46" s="18">
        <v>-4</v>
      </c>
      <c r="C46" s="31">
        <f t="shared" si="17"/>
        <v>270.4278851524969</v>
      </c>
      <c r="D46" s="32">
        <f t="shared" si="18"/>
        <v>2.9717350016757904</v>
      </c>
      <c r="E46" s="33">
        <f t="shared" si="0"/>
        <v>91</v>
      </c>
      <c r="F46" s="34">
        <f t="shared" si="19"/>
        <v>5.413333333333334</v>
      </c>
      <c r="G46" s="33">
        <f t="shared" si="20"/>
        <v>1</v>
      </c>
      <c r="H46" s="23">
        <f t="shared" si="1"/>
        <v>5.413333333333334</v>
      </c>
      <c r="I46" s="2"/>
      <c r="J46" s="2"/>
      <c r="K46" s="32">
        <f t="shared" si="2"/>
        <v>0</v>
      </c>
      <c r="L46" s="32">
        <f t="shared" si="3"/>
        <v>0</v>
      </c>
      <c r="M46" s="35">
        <f t="shared" si="4"/>
        <v>0.33333333333333337</v>
      </c>
      <c r="N46" s="32">
        <f t="shared" si="56"/>
        <v>0.6666666666666666</v>
      </c>
      <c r="O46" s="34">
        <f t="shared" si="21"/>
        <v>2.9717350016757904</v>
      </c>
      <c r="P46" s="36">
        <f t="shared" si="22"/>
        <v>270.4278851524969</v>
      </c>
      <c r="Q46" s="51">
        <f t="shared" si="5"/>
        <v>0.03388820615946077</v>
      </c>
      <c r="R46" s="61">
        <f t="shared" si="6"/>
        <v>91</v>
      </c>
      <c r="S46" s="28"/>
      <c r="T46" s="50">
        <f t="shared" si="7"/>
        <v>89.15205005027371</v>
      </c>
      <c r="U46" s="35">
        <f t="shared" si="8"/>
        <v>3.033333333333333</v>
      </c>
      <c r="V46" s="32">
        <f t="shared" si="9"/>
        <v>0</v>
      </c>
      <c r="W46" s="35">
        <f t="shared" si="10"/>
        <v>0</v>
      </c>
      <c r="X46" s="35">
        <f t="shared" si="57"/>
        <v>3.033333333333333</v>
      </c>
      <c r="Z46" s="2"/>
      <c r="AA46" s="18">
        <v>8</v>
      </c>
      <c r="AB46" s="31">
        <f t="shared" si="55"/>
        <v>884.1537885674562</v>
      </c>
      <c r="AC46" s="32">
        <f t="shared" si="23"/>
        <v>3.41372119138014</v>
      </c>
      <c r="AD46" s="33">
        <f t="shared" si="24"/>
        <v>259</v>
      </c>
      <c r="AE46" s="34">
        <f t="shared" si="25"/>
        <v>8.056</v>
      </c>
      <c r="AF46" s="33">
        <f t="shared" si="26"/>
        <v>1</v>
      </c>
      <c r="AG46" s="23">
        <f t="shared" si="27"/>
        <v>8.056</v>
      </c>
      <c r="AH46" s="2"/>
      <c r="AI46" s="32">
        <f t="shared" si="28"/>
        <v>0.19999999999999996</v>
      </c>
      <c r="AJ46" s="32">
        <f t="shared" si="29"/>
        <v>0.8</v>
      </c>
      <c r="AK46" s="35">
        <f aca="true" t="shared" si="58" ref="AK46:AK53">IF(AND(ToutW_tp&lt;tst2,ToutW_tp&gt;=tst3),(ToutW_tp-tst2)/(tst3-tst2),IF(AND(ToutW_tp&gt;tst4,ToutW_tp&lt;tst3),1-(ToutW_tp-tst3)/(tst4-tst3),IF(ToutW_tp&lt;4,-(ToutW_tp-tst4)/(tst4-tst3),0)))</f>
        <v>0</v>
      </c>
      <c r="AL46" s="32">
        <f t="shared" si="30"/>
        <v>0</v>
      </c>
      <c r="AM46" s="23"/>
      <c r="AN46" s="34">
        <f t="shared" si="31"/>
        <v>3.41372119138014</v>
      </c>
      <c r="AO46" s="36">
        <f t="shared" si="32"/>
        <v>884.1537885674562</v>
      </c>
      <c r="AP46" s="51">
        <f t="shared" si="11"/>
        <v>0.11079621410619753</v>
      </c>
      <c r="AQ46" s="61">
        <f t="shared" si="12"/>
        <v>259</v>
      </c>
      <c r="AR46" s="27"/>
      <c r="AS46" s="50">
        <f t="shared" si="33"/>
        <v>217.7718691052848</v>
      </c>
      <c r="AT46" s="35">
        <f t="shared" si="34"/>
        <v>4.06</v>
      </c>
      <c r="AU46" s="32">
        <f t="shared" si="35"/>
        <v>0</v>
      </c>
      <c r="AV46" s="35">
        <f t="shared" si="36"/>
        <v>0</v>
      </c>
      <c r="AW46" s="35">
        <f t="shared" si="37"/>
        <v>4.06</v>
      </c>
      <c r="AX46" s="35"/>
      <c r="AY46" s="2"/>
      <c r="AZ46" s="2"/>
      <c r="BA46" s="37">
        <f t="shared" si="13"/>
        <v>-16</v>
      </c>
      <c r="BB46" s="31">
        <f t="shared" si="38"/>
        <v>0</v>
      </c>
      <c r="BC46" s="32">
        <f t="shared" si="39"/>
        <v>0</v>
      </c>
      <c r="BD46" s="33">
        <f t="shared" si="40"/>
        <v>0</v>
      </c>
      <c r="BE46" s="34">
        <f t="shared" si="41"/>
        <v>0</v>
      </c>
      <c r="BF46" s="33">
        <f t="shared" si="42"/>
        <v>0</v>
      </c>
      <c r="BG46" s="23">
        <f t="shared" si="14"/>
        <v>-0.5775</v>
      </c>
      <c r="BH46" s="2"/>
      <c r="BI46" s="32">
        <f t="shared" si="15"/>
        <v>0</v>
      </c>
      <c r="BJ46" s="32">
        <f t="shared" si="16"/>
        <v>0</v>
      </c>
      <c r="BK46" s="35">
        <f t="shared" si="43"/>
        <v>0</v>
      </c>
      <c r="BL46" s="35">
        <f t="shared" si="44"/>
        <v>-0.125</v>
      </c>
      <c r="BM46" s="32">
        <f t="shared" si="45"/>
        <v>1.125</v>
      </c>
      <c r="BN46" s="34">
        <f t="shared" si="46"/>
        <v>4.0896424338839</v>
      </c>
      <c r="BO46" s="36">
        <f t="shared" si="47"/>
        <v>159.4960549214721</v>
      </c>
      <c r="BP46" s="60">
        <f t="shared" si="48"/>
        <v>0.01332464953395757</v>
      </c>
      <c r="BQ46" s="61">
        <f t="shared" si="49"/>
        <v>39</v>
      </c>
      <c r="BR46" s="2"/>
      <c r="BS46" s="50">
        <f t="shared" si="50"/>
        <v>0</v>
      </c>
      <c r="BT46" s="35">
        <f t="shared" si="51"/>
        <v>1.4500000000000002</v>
      </c>
      <c r="BU46" s="32">
        <f t="shared" si="52"/>
        <v>0</v>
      </c>
      <c r="BV46" s="35">
        <f t="shared" si="53"/>
        <v>159.4960549214721</v>
      </c>
      <c r="BW46" s="35">
        <f t="shared" si="54"/>
        <v>1</v>
      </c>
      <c r="BX46" s="35"/>
      <c r="BY46" s="6"/>
    </row>
    <row r="47" spans="1:77" ht="12.75" hidden="1">
      <c r="A47" s="2"/>
      <c r="B47" s="18">
        <v>-3</v>
      </c>
      <c r="C47" s="31">
        <f t="shared" si="17"/>
        <v>251.26019439168803</v>
      </c>
      <c r="D47" s="32">
        <f t="shared" si="18"/>
        <v>2.8231482515920003</v>
      </c>
      <c r="E47" s="33">
        <f t="shared" si="0"/>
        <v>89</v>
      </c>
      <c r="F47" s="34">
        <f t="shared" si="19"/>
        <v>5.677777777777777</v>
      </c>
      <c r="G47" s="33">
        <f t="shared" si="20"/>
        <v>1</v>
      </c>
      <c r="H47" s="23">
        <f t="shared" si="1"/>
        <v>5.677777777777777</v>
      </c>
      <c r="I47" s="2"/>
      <c r="J47" s="2"/>
      <c r="K47" s="32">
        <f t="shared" si="2"/>
        <v>0</v>
      </c>
      <c r="L47" s="32">
        <f t="shared" si="3"/>
        <v>0</v>
      </c>
      <c r="M47" s="35">
        <f t="shared" si="4"/>
        <v>0.4444444444444444</v>
      </c>
      <c r="N47" s="32">
        <f t="shared" si="56"/>
        <v>0.5555555555555556</v>
      </c>
      <c r="O47" s="34">
        <f t="shared" si="21"/>
        <v>2.8231482515920003</v>
      </c>
      <c r="P47" s="36">
        <f t="shared" si="22"/>
        <v>251.26019439168803</v>
      </c>
      <c r="Q47" s="51">
        <f t="shared" si="5"/>
        <v>0.031486239898707774</v>
      </c>
      <c r="R47" s="61">
        <f t="shared" si="6"/>
        <v>89</v>
      </c>
      <c r="S47" s="28"/>
      <c r="T47" s="50">
        <f t="shared" si="7"/>
        <v>80.76220534018545</v>
      </c>
      <c r="U47" s="35">
        <f t="shared" si="8"/>
        <v>3.1111111111111107</v>
      </c>
      <c r="V47" s="32">
        <f t="shared" si="9"/>
        <v>0</v>
      </c>
      <c r="W47" s="35">
        <f t="shared" si="10"/>
        <v>0</v>
      </c>
      <c r="X47" s="35">
        <f t="shared" si="57"/>
        <v>3.1111111111111107</v>
      </c>
      <c r="Z47" s="2"/>
      <c r="AA47" s="18">
        <v>9</v>
      </c>
      <c r="AB47" s="31">
        <f t="shared" si="55"/>
        <v>1075.3221752847442</v>
      </c>
      <c r="AC47" s="32">
        <f t="shared" si="23"/>
        <v>2.987006042457623</v>
      </c>
      <c r="AD47" s="33">
        <f t="shared" si="24"/>
        <v>360</v>
      </c>
      <c r="AE47" s="34">
        <f t="shared" si="25"/>
        <v>8.091999999999999</v>
      </c>
      <c r="AF47" s="33">
        <f t="shared" si="26"/>
        <v>1</v>
      </c>
      <c r="AG47" s="23">
        <f t="shared" si="27"/>
        <v>8.091999999999999</v>
      </c>
      <c r="AH47" s="2"/>
      <c r="AI47" s="32">
        <f t="shared" si="28"/>
        <v>0.4</v>
      </c>
      <c r="AJ47" s="32">
        <f t="shared" si="29"/>
        <v>0.6</v>
      </c>
      <c r="AK47" s="35">
        <f t="shared" si="58"/>
        <v>0</v>
      </c>
      <c r="AL47" s="32">
        <f t="shared" si="30"/>
        <v>0</v>
      </c>
      <c r="AM47" s="23"/>
      <c r="AN47" s="34">
        <f t="shared" si="31"/>
        <v>2.987006042457623</v>
      </c>
      <c r="AO47" s="36">
        <f t="shared" si="32"/>
        <v>1075.3221752847442</v>
      </c>
      <c r="AP47" s="51">
        <f t="shared" si="11"/>
        <v>0.13475215229132131</v>
      </c>
      <c r="AQ47" s="61">
        <f t="shared" si="12"/>
        <v>360</v>
      </c>
      <c r="AR47" s="27"/>
      <c r="AS47" s="50">
        <f t="shared" si="33"/>
        <v>261.000527981734</v>
      </c>
      <c r="AT47" s="35">
        <f t="shared" si="34"/>
        <v>4.12</v>
      </c>
      <c r="AU47" s="32">
        <f t="shared" si="35"/>
        <v>0</v>
      </c>
      <c r="AV47" s="35">
        <f t="shared" si="36"/>
        <v>0</v>
      </c>
      <c r="AW47" s="35">
        <f t="shared" si="37"/>
        <v>4.12</v>
      </c>
      <c r="AX47" s="35"/>
      <c r="AY47" s="2"/>
      <c r="AZ47" s="2"/>
      <c r="BA47" s="37">
        <f t="shared" si="13"/>
        <v>-15</v>
      </c>
      <c r="BB47" s="31">
        <f t="shared" si="38"/>
        <v>0</v>
      </c>
      <c r="BC47" s="32">
        <f t="shared" si="39"/>
        <v>0</v>
      </c>
      <c r="BD47" s="33">
        <f t="shared" si="40"/>
        <v>0</v>
      </c>
      <c r="BE47" s="34">
        <f t="shared" si="41"/>
        <v>0</v>
      </c>
      <c r="BF47" s="33">
        <f t="shared" si="42"/>
        <v>0</v>
      </c>
      <c r="BG47" s="23">
        <f t="shared" si="14"/>
        <v>0</v>
      </c>
      <c r="BH47" s="2"/>
      <c r="BI47" s="32">
        <f t="shared" si="15"/>
        <v>0</v>
      </c>
      <c r="BJ47" s="32">
        <f t="shared" si="16"/>
        <v>0</v>
      </c>
      <c r="BK47" s="35">
        <f t="shared" si="43"/>
        <v>0</v>
      </c>
      <c r="BL47" s="35">
        <f t="shared" si="44"/>
        <v>0</v>
      </c>
      <c r="BM47" s="32">
        <f t="shared" si="45"/>
        <v>1</v>
      </c>
      <c r="BN47" s="34">
        <f t="shared" si="46"/>
        <v>3.961841107825028</v>
      </c>
      <c r="BO47" s="36">
        <f t="shared" si="47"/>
        <v>162.43548542082615</v>
      </c>
      <c r="BP47" s="60">
        <f t="shared" si="48"/>
        <v>0.013570215991714799</v>
      </c>
      <c r="BQ47" s="61">
        <f t="shared" si="49"/>
        <v>41</v>
      </c>
      <c r="BR47" s="2"/>
      <c r="BS47" s="50">
        <f t="shared" si="50"/>
        <v>0</v>
      </c>
      <c r="BT47" s="35">
        <f t="shared" si="51"/>
        <v>1.6</v>
      </c>
      <c r="BU47" s="32">
        <f t="shared" si="52"/>
        <v>0</v>
      </c>
      <c r="BV47" s="35">
        <f t="shared" si="53"/>
        <v>162.43548542082615</v>
      </c>
      <c r="BW47" s="35">
        <f t="shared" si="54"/>
        <v>1</v>
      </c>
      <c r="BX47" s="35"/>
      <c r="BY47" s="6"/>
    </row>
    <row r="48" spans="1:77" ht="12.75" hidden="1">
      <c r="A48" s="2"/>
      <c r="B48" s="18">
        <v>-2</v>
      </c>
      <c r="C48" s="31">
        <f t="shared" si="17"/>
        <v>441.30264774885484</v>
      </c>
      <c r="D48" s="32">
        <f t="shared" si="18"/>
        <v>2.674561501508211</v>
      </c>
      <c r="E48" s="33">
        <f t="shared" si="0"/>
        <v>165</v>
      </c>
      <c r="F48" s="34">
        <f t="shared" si="19"/>
        <v>5.942222222222222</v>
      </c>
      <c r="G48" s="33">
        <f t="shared" si="20"/>
        <v>1</v>
      </c>
      <c r="H48" s="23">
        <f t="shared" si="1"/>
        <v>5.942222222222222</v>
      </c>
      <c r="I48" s="2"/>
      <c r="J48" s="2"/>
      <c r="K48" s="32">
        <f t="shared" si="2"/>
        <v>0</v>
      </c>
      <c r="L48" s="32">
        <f t="shared" si="3"/>
        <v>0</v>
      </c>
      <c r="M48" s="35">
        <f t="shared" si="4"/>
        <v>0.5555555555555556</v>
      </c>
      <c r="N48" s="32">
        <f t="shared" si="56"/>
        <v>0.4444444444444444</v>
      </c>
      <c r="O48" s="34">
        <f t="shared" si="21"/>
        <v>2.674561501508211</v>
      </c>
      <c r="P48" s="36">
        <f t="shared" si="22"/>
        <v>441.30264774885484</v>
      </c>
      <c r="Q48" s="51">
        <f t="shared" si="5"/>
        <v>0.05530108367780136</v>
      </c>
      <c r="R48" s="61">
        <f t="shared" si="6"/>
        <v>165</v>
      </c>
      <c r="S48" s="28"/>
      <c r="T48" s="50">
        <f t="shared" si="7"/>
        <v>138.38758988640046</v>
      </c>
      <c r="U48" s="35">
        <f t="shared" si="8"/>
        <v>3.188888888888889</v>
      </c>
      <c r="V48" s="32">
        <f t="shared" si="9"/>
        <v>0</v>
      </c>
      <c r="W48" s="35">
        <f t="shared" si="10"/>
        <v>0</v>
      </c>
      <c r="X48" s="35">
        <f t="shared" si="57"/>
        <v>3.188888888888889</v>
      </c>
      <c r="Z48" s="2"/>
      <c r="AA48" s="18">
        <v>10</v>
      </c>
      <c r="AB48" s="31">
        <f t="shared" si="55"/>
        <v>1095.8045024330247</v>
      </c>
      <c r="AC48" s="32">
        <f t="shared" si="23"/>
        <v>2.5602908935351043</v>
      </c>
      <c r="AD48" s="33">
        <f t="shared" si="24"/>
        <v>428</v>
      </c>
      <c r="AE48" s="34">
        <f t="shared" si="25"/>
        <v>8.128</v>
      </c>
      <c r="AF48" s="33">
        <f t="shared" si="26"/>
        <v>1</v>
      </c>
      <c r="AG48" s="23">
        <f t="shared" si="27"/>
        <v>8.128</v>
      </c>
      <c r="AH48" s="2"/>
      <c r="AI48" s="32">
        <f t="shared" si="28"/>
        <v>0.6</v>
      </c>
      <c r="AJ48" s="32">
        <f t="shared" si="29"/>
        <v>0.4</v>
      </c>
      <c r="AK48" s="35">
        <f t="shared" si="58"/>
        <v>0</v>
      </c>
      <c r="AL48" s="32">
        <f t="shared" si="30"/>
        <v>0</v>
      </c>
      <c r="AM48" s="23"/>
      <c r="AN48" s="34">
        <f t="shared" si="31"/>
        <v>2.5602908935351043</v>
      </c>
      <c r="AO48" s="36">
        <f t="shared" si="32"/>
        <v>1095.8045024330247</v>
      </c>
      <c r="AP48" s="51">
        <f t="shared" si="11"/>
        <v>0.13731885995401313</v>
      </c>
      <c r="AQ48" s="61">
        <f t="shared" si="12"/>
        <v>428</v>
      </c>
      <c r="AR48" s="27"/>
      <c r="AS48" s="50">
        <f t="shared" si="33"/>
        <v>262.15418718493413</v>
      </c>
      <c r="AT48" s="35">
        <f t="shared" si="34"/>
        <v>4.18</v>
      </c>
      <c r="AU48" s="32">
        <f t="shared" si="35"/>
        <v>0</v>
      </c>
      <c r="AV48" s="35">
        <f t="shared" si="36"/>
        <v>0</v>
      </c>
      <c r="AW48" s="35">
        <f t="shared" si="37"/>
        <v>4.18</v>
      </c>
      <c r="AX48" s="35"/>
      <c r="AY48" s="2"/>
      <c r="AZ48" s="2"/>
      <c r="BA48" s="37">
        <f t="shared" si="13"/>
        <v>-14</v>
      </c>
      <c r="BB48" s="31">
        <f t="shared" si="38"/>
        <v>0</v>
      </c>
      <c r="BC48" s="32">
        <f t="shared" si="39"/>
        <v>0</v>
      </c>
      <c r="BD48" s="33">
        <f t="shared" si="40"/>
        <v>0</v>
      </c>
      <c r="BE48" s="34">
        <f t="shared" si="41"/>
        <v>0</v>
      </c>
      <c r="BF48" s="33">
        <f t="shared" si="42"/>
        <v>0</v>
      </c>
      <c r="BG48" s="23">
        <f t="shared" si="14"/>
        <v>0.5775</v>
      </c>
      <c r="BH48" s="2"/>
      <c r="BI48" s="32">
        <f t="shared" si="15"/>
        <v>0</v>
      </c>
      <c r="BJ48" s="32">
        <f t="shared" si="16"/>
        <v>0</v>
      </c>
      <c r="BK48" s="35">
        <f t="shared" si="43"/>
        <v>0</v>
      </c>
      <c r="BL48" s="35">
        <f t="shared" si="44"/>
        <v>0.125</v>
      </c>
      <c r="BM48" s="32">
        <f t="shared" si="45"/>
        <v>0.875</v>
      </c>
      <c r="BN48" s="34">
        <f t="shared" si="46"/>
        <v>3.8340397817661565</v>
      </c>
      <c r="BO48" s="36">
        <f t="shared" si="47"/>
        <v>134.19139236181547</v>
      </c>
      <c r="BP48" s="60">
        <f t="shared" si="48"/>
        <v>0.011210642636743148</v>
      </c>
      <c r="BQ48" s="61">
        <f t="shared" si="49"/>
        <v>35</v>
      </c>
      <c r="BR48" s="2"/>
      <c r="BS48" s="50">
        <f t="shared" si="50"/>
        <v>0</v>
      </c>
      <c r="BT48" s="35">
        <f t="shared" si="51"/>
        <v>1.75</v>
      </c>
      <c r="BU48" s="32">
        <f t="shared" si="52"/>
        <v>0</v>
      </c>
      <c r="BV48" s="35">
        <f t="shared" si="53"/>
        <v>134.19139236181547</v>
      </c>
      <c r="BW48" s="35">
        <f t="shared" si="54"/>
        <v>1</v>
      </c>
      <c r="BX48" s="35"/>
      <c r="BY48" s="6"/>
    </row>
    <row r="49" spans="1:77" ht="12.75" hidden="1">
      <c r="A49" s="2"/>
      <c r="B49" s="18">
        <v>-1</v>
      </c>
      <c r="C49" s="31">
        <f t="shared" si="17"/>
        <v>436.993631996425</v>
      </c>
      <c r="D49" s="32">
        <f t="shared" si="18"/>
        <v>2.525974751424422</v>
      </c>
      <c r="E49" s="33">
        <f t="shared" si="0"/>
        <v>173</v>
      </c>
      <c r="F49" s="34">
        <f t="shared" si="19"/>
        <v>6.206666666666667</v>
      </c>
      <c r="G49" s="33">
        <f t="shared" si="20"/>
        <v>1</v>
      </c>
      <c r="H49" s="23">
        <f t="shared" si="1"/>
        <v>6.206666666666667</v>
      </c>
      <c r="I49" s="2"/>
      <c r="J49" s="2"/>
      <c r="K49" s="32">
        <f t="shared" si="2"/>
        <v>0</v>
      </c>
      <c r="L49" s="32">
        <f t="shared" si="3"/>
        <v>0</v>
      </c>
      <c r="M49" s="35">
        <f t="shared" si="4"/>
        <v>0.6666666666666667</v>
      </c>
      <c r="N49" s="32">
        <f t="shared" si="56"/>
        <v>0.3333333333333333</v>
      </c>
      <c r="O49" s="34">
        <f t="shared" si="21"/>
        <v>2.525974751424422</v>
      </c>
      <c r="P49" s="36">
        <f t="shared" si="22"/>
        <v>436.993631996425</v>
      </c>
      <c r="Q49" s="51">
        <f t="shared" si="5"/>
        <v>0.054761106766469295</v>
      </c>
      <c r="R49" s="61">
        <f t="shared" si="6"/>
        <v>173</v>
      </c>
      <c r="S49" s="28"/>
      <c r="T49" s="50">
        <f t="shared" si="7"/>
        <v>133.77356081523214</v>
      </c>
      <c r="U49" s="35">
        <f t="shared" si="8"/>
        <v>3.2666666666666666</v>
      </c>
      <c r="V49" s="32">
        <f t="shared" si="9"/>
        <v>0</v>
      </c>
      <c r="W49" s="35">
        <f t="shared" si="10"/>
        <v>0</v>
      </c>
      <c r="X49" s="35">
        <f t="shared" si="57"/>
        <v>3.2666666666666666</v>
      </c>
      <c r="Z49" s="2"/>
      <c r="AA49" s="18">
        <v>11</v>
      </c>
      <c r="AB49" s="31">
        <f t="shared" si="55"/>
        <v>917.4375701834126</v>
      </c>
      <c r="AC49" s="32">
        <f t="shared" si="23"/>
        <v>2.1335757446125876</v>
      </c>
      <c r="AD49" s="33">
        <f t="shared" si="24"/>
        <v>430</v>
      </c>
      <c r="AE49" s="34">
        <f t="shared" si="25"/>
        <v>8.164</v>
      </c>
      <c r="AF49" s="33">
        <f t="shared" si="26"/>
        <v>1</v>
      </c>
      <c r="AG49" s="23">
        <f t="shared" si="27"/>
        <v>8.164</v>
      </c>
      <c r="AH49" s="2"/>
      <c r="AI49" s="32">
        <f t="shared" si="28"/>
        <v>0.8</v>
      </c>
      <c r="AJ49" s="32">
        <f t="shared" si="29"/>
        <v>0.2</v>
      </c>
      <c r="AK49" s="35">
        <f t="shared" si="58"/>
        <v>0</v>
      </c>
      <c r="AL49" s="32">
        <f t="shared" si="30"/>
        <v>0</v>
      </c>
      <c r="AM49" s="23"/>
      <c r="AN49" s="34">
        <f t="shared" si="31"/>
        <v>2.1335757446125876</v>
      </c>
      <c r="AO49" s="36">
        <f t="shared" si="32"/>
        <v>917.4375701834127</v>
      </c>
      <c r="AP49" s="51">
        <f t="shared" si="11"/>
        <v>0.11496711405807176</v>
      </c>
      <c r="AQ49" s="61">
        <f t="shared" si="12"/>
        <v>430</v>
      </c>
      <c r="AR49" s="27"/>
      <c r="AS49" s="50">
        <f t="shared" si="33"/>
        <v>216.37678542061616</v>
      </c>
      <c r="AT49" s="35">
        <f t="shared" si="34"/>
        <v>4.24</v>
      </c>
      <c r="AU49" s="32">
        <f t="shared" si="35"/>
        <v>0</v>
      </c>
      <c r="AV49" s="35">
        <f t="shared" si="36"/>
        <v>0</v>
      </c>
      <c r="AW49" s="35">
        <f t="shared" si="37"/>
        <v>4.239999999999999</v>
      </c>
      <c r="AX49" s="35"/>
      <c r="AY49" s="2"/>
      <c r="AZ49" s="2"/>
      <c r="BA49" s="37">
        <f t="shared" si="13"/>
        <v>-13</v>
      </c>
      <c r="BB49" s="31">
        <f t="shared" si="38"/>
        <v>0</v>
      </c>
      <c r="BC49" s="32">
        <f t="shared" si="39"/>
        <v>0</v>
      </c>
      <c r="BD49" s="33">
        <f t="shared" si="40"/>
        <v>0</v>
      </c>
      <c r="BE49" s="34">
        <f t="shared" si="41"/>
        <v>0</v>
      </c>
      <c r="BF49" s="33">
        <f t="shared" si="42"/>
        <v>0</v>
      </c>
      <c r="BG49" s="23">
        <f t="shared" si="14"/>
        <v>1.155</v>
      </c>
      <c r="BH49" s="2"/>
      <c r="BI49" s="32">
        <f t="shared" si="15"/>
        <v>0</v>
      </c>
      <c r="BJ49" s="32">
        <f t="shared" si="16"/>
        <v>0</v>
      </c>
      <c r="BK49" s="35">
        <f t="shared" si="43"/>
        <v>0</v>
      </c>
      <c r="BL49" s="35">
        <f t="shared" si="44"/>
        <v>0.25</v>
      </c>
      <c r="BM49" s="32">
        <f t="shared" si="45"/>
        <v>0.75</v>
      </c>
      <c r="BN49" s="34">
        <f t="shared" si="46"/>
        <v>3.7062384557072843</v>
      </c>
      <c r="BO49" s="36">
        <f t="shared" si="47"/>
        <v>192.7243996967788</v>
      </c>
      <c r="BP49" s="60">
        <f t="shared" si="48"/>
        <v>0.016100618186865395</v>
      </c>
      <c r="BQ49" s="61">
        <f t="shared" si="49"/>
        <v>52</v>
      </c>
      <c r="BR49" s="2"/>
      <c r="BS49" s="50">
        <f t="shared" si="50"/>
        <v>0</v>
      </c>
      <c r="BT49" s="35">
        <f t="shared" si="51"/>
        <v>1.9000000000000001</v>
      </c>
      <c r="BU49" s="32">
        <f t="shared" si="52"/>
        <v>0</v>
      </c>
      <c r="BV49" s="35">
        <f t="shared" si="53"/>
        <v>192.7243996967788</v>
      </c>
      <c r="BW49" s="35">
        <f t="shared" si="54"/>
        <v>1</v>
      </c>
      <c r="BX49" s="35"/>
      <c r="BY49" s="6"/>
    </row>
    <row r="50" spans="1:77" ht="12.75" hidden="1">
      <c r="A50" s="2"/>
      <c r="B50" s="18">
        <v>0</v>
      </c>
      <c r="C50" s="31">
        <f t="shared" si="17"/>
        <v>570.5731203217517</v>
      </c>
      <c r="D50" s="32">
        <f t="shared" si="18"/>
        <v>2.3773880013406323</v>
      </c>
      <c r="E50" s="33">
        <f t="shared" si="0"/>
        <v>240</v>
      </c>
      <c r="F50" s="34">
        <f t="shared" si="19"/>
        <v>6.471111111111111</v>
      </c>
      <c r="G50" s="33">
        <f t="shared" si="20"/>
        <v>1</v>
      </c>
      <c r="H50" s="23">
        <f t="shared" si="1"/>
        <v>6.471111111111111</v>
      </c>
      <c r="I50" s="2"/>
      <c r="J50" s="2"/>
      <c r="K50" s="32">
        <f t="shared" si="2"/>
        <v>0</v>
      </c>
      <c r="L50" s="32">
        <f t="shared" si="3"/>
        <v>0</v>
      </c>
      <c r="M50" s="35">
        <f t="shared" si="4"/>
        <v>0.7777777777777778</v>
      </c>
      <c r="N50" s="32">
        <f t="shared" si="56"/>
        <v>0.2222222222222222</v>
      </c>
      <c r="O50" s="34">
        <f t="shared" si="21"/>
        <v>2.3773880013406323</v>
      </c>
      <c r="P50" s="36">
        <f t="shared" si="22"/>
        <v>570.5731203217517</v>
      </c>
      <c r="Q50" s="51">
        <f t="shared" si="5"/>
        <v>0.07150039101776337</v>
      </c>
      <c r="R50" s="61">
        <f t="shared" si="6"/>
        <v>240</v>
      </c>
      <c r="S50" s="28"/>
      <c r="T50" s="50">
        <f t="shared" si="7"/>
        <v>170.60325856796564</v>
      </c>
      <c r="U50" s="35">
        <f t="shared" si="8"/>
        <v>3.3444444444444446</v>
      </c>
      <c r="V50" s="32">
        <f t="shared" si="9"/>
        <v>0</v>
      </c>
      <c r="W50" s="35">
        <f t="shared" si="10"/>
        <v>0</v>
      </c>
      <c r="X50" s="35">
        <f t="shared" si="57"/>
        <v>3.3444444444444446</v>
      </c>
      <c r="Z50" s="2"/>
      <c r="AA50" s="18">
        <v>12</v>
      </c>
      <c r="AB50" s="31">
        <f t="shared" si="55"/>
        <v>858.5508796321053</v>
      </c>
      <c r="AC50" s="32">
        <f t="shared" si="23"/>
        <v>1.7068605956900702</v>
      </c>
      <c r="AD50" s="33">
        <f t="shared" si="24"/>
        <v>503</v>
      </c>
      <c r="AE50" s="34">
        <f t="shared" si="25"/>
        <v>8.2</v>
      </c>
      <c r="AF50" s="33">
        <f t="shared" si="26"/>
        <v>1</v>
      </c>
      <c r="AG50" s="23">
        <f t="shared" si="27"/>
        <v>8.2</v>
      </c>
      <c r="AH50" s="2"/>
      <c r="AI50" s="32">
        <f t="shared" si="28"/>
        <v>1</v>
      </c>
      <c r="AJ50" s="32">
        <f t="shared" si="29"/>
        <v>0</v>
      </c>
      <c r="AK50" s="35">
        <f t="shared" si="58"/>
        <v>0</v>
      </c>
      <c r="AL50" s="32">
        <f t="shared" si="30"/>
        <v>0</v>
      </c>
      <c r="AM50" s="23"/>
      <c r="AN50" s="34">
        <f t="shared" si="31"/>
        <v>1.7068605956900702</v>
      </c>
      <c r="AO50" s="36">
        <f t="shared" si="32"/>
        <v>858.5508796321053</v>
      </c>
      <c r="AP50" s="51">
        <f t="shared" si="11"/>
        <v>0.10758782952783275</v>
      </c>
      <c r="AQ50" s="61">
        <f t="shared" si="12"/>
        <v>503</v>
      </c>
      <c r="AR50" s="27"/>
      <c r="AS50" s="50">
        <f t="shared" si="33"/>
        <v>235.17521518502312</v>
      </c>
      <c r="AT50" s="35">
        <f t="shared" si="34"/>
        <v>3.650686059569007</v>
      </c>
      <c r="AU50" s="32">
        <f t="shared" si="35"/>
        <v>0.1</v>
      </c>
      <c r="AV50" s="35">
        <f t="shared" si="36"/>
        <v>0</v>
      </c>
      <c r="AW50" s="35">
        <f t="shared" si="37"/>
        <v>3.650686059569007</v>
      </c>
      <c r="AX50" s="35"/>
      <c r="AY50" s="2"/>
      <c r="AZ50" s="2"/>
      <c r="BA50" s="37">
        <f t="shared" si="13"/>
        <v>-12</v>
      </c>
      <c r="BB50" s="31">
        <f t="shared" si="38"/>
        <v>0</v>
      </c>
      <c r="BC50" s="32">
        <f t="shared" si="39"/>
        <v>0</v>
      </c>
      <c r="BD50" s="33">
        <f t="shared" si="40"/>
        <v>0</v>
      </c>
      <c r="BE50" s="34">
        <f t="shared" si="41"/>
        <v>0</v>
      </c>
      <c r="BF50" s="33">
        <f t="shared" si="42"/>
        <v>0</v>
      </c>
      <c r="BG50" s="23">
        <f t="shared" si="14"/>
        <v>1.7325</v>
      </c>
      <c r="BH50" s="2"/>
      <c r="BI50" s="32">
        <f t="shared" si="15"/>
        <v>0</v>
      </c>
      <c r="BJ50" s="32">
        <f t="shared" si="16"/>
        <v>0</v>
      </c>
      <c r="BK50" s="35">
        <f t="shared" si="43"/>
        <v>0</v>
      </c>
      <c r="BL50" s="35">
        <f t="shared" si="44"/>
        <v>0.375</v>
      </c>
      <c r="BM50" s="32">
        <f>IF(AND(ToutC_tp&lt;tst4,ToutC_tp&gt;=tst5),(ToutC_tp-tst4)/(tst5-tst4),IF(AND(ToutC_tp&lt;tst5),1+(ToutC_tp-tst5)/(tst5-tst4),0))</f>
        <v>0.625</v>
      </c>
      <c r="BN50" s="34">
        <f t="shared" si="46"/>
        <v>3.5784371296484125</v>
      </c>
      <c r="BO50" s="36">
        <f t="shared" si="47"/>
        <v>132.40217379699126</v>
      </c>
      <c r="BP50" s="60">
        <f t="shared" si="48"/>
        <v>0.011061167401586572</v>
      </c>
      <c r="BQ50" s="61">
        <f t="shared" si="49"/>
        <v>37</v>
      </c>
      <c r="BR50" s="2"/>
      <c r="BS50" s="50">
        <f t="shared" si="50"/>
        <v>0</v>
      </c>
      <c r="BT50" s="35">
        <f t="shared" si="51"/>
        <v>2.05</v>
      </c>
      <c r="BU50" s="32">
        <f t="shared" si="52"/>
        <v>0</v>
      </c>
      <c r="BV50" s="35">
        <f t="shared" si="53"/>
        <v>132.40217379699126</v>
      </c>
      <c r="BW50" s="35">
        <f t="shared" si="54"/>
        <v>1</v>
      </c>
      <c r="BX50" s="35"/>
      <c r="BY50" s="6"/>
    </row>
    <row r="51" spans="1:77" ht="12.75" hidden="1">
      <c r="A51" s="2"/>
      <c r="B51" s="18">
        <v>1</v>
      </c>
      <c r="C51" s="31">
        <f t="shared" si="17"/>
        <v>624.0643503519158</v>
      </c>
      <c r="D51" s="32">
        <f t="shared" si="18"/>
        <v>2.2288012512568423</v>
      </c>
      <c r="E51" s="33">
        <f t="shared" si="0"/>
        <v>280</v>
      </c>
      <c r="F51" s="34">
        <f t="shared" si="19"/>
        <v>6.735555555555555</v>
      </c>
      <c r="G51" s="33">
        <f t="shared" si="20"/>
        <v>1</v>
      </c>
      <c r="H51" s="23">
        <f t="shared" si="1"/>
        <v>6.735555555555555</v>
      </c>
      <c r="I51" s="2"/>
      <c r="J51" s="2"/>
      <c r="K51" s="32">
        <f t="shared" si="2"/>
        <v>0</v>
      </c>
      <c r="L51" s="32">
        <f t="shared" si="3"/>
        <v>0</v>
      </c>
      <c r="M51" s="35">
        <f t="shared" si="4"/>
        <v>0.8888888888888888</v>
      </c>
      <c r="N51" s="32">
        <f t="shared" si="56"/>
        <v>0.1111111111111111</v>
      </c>
      <c r="O51" s="34">
        <f t="shared" si="21"/>
        <v>2.2288012512568423</v>
      </c>
      <c r="P51" s="36">
        <f t="shared" si="22"/>
        <v>624.0643503519159</v>
      </c>
      <c r="Q51" s="51">
        <f t="shared" si="5"/>
        <v>0.07820355267567869</v>
      </c>
      <c r="R51" s="61">
        <f t="shared" si="6"/>
        <v>280</v>
      </c>
      <c r="S51" s="28"/>
      <c r="T51" s="50">
        <f t="shared" si="7"/>
        <v>182.3564660119235</v>
      </c>
      <c r="U51" s="35">
        <f t="shared" si="8"/>
        <v>3.4222222222222216</v>
      </c>
      <c r="V51" s="32">
        <f t="shared" si="9"/>
        <v>0</v>
      </c>
      <c r="W51" s="35">
        <f t="shared" si="10"/>
        <v>0</v>
      </c>
      <c r="X51" s="35">
        <f t="shared" si="57"/>
        <v>3.4222222222222207</v>
      </c>
      <c r="Z51" s="2"/>
      <c r="AA51" s="18">
        <v>13</v>
      </c>
      <c r="AB51" s="31">
        <f t="shared" si="55"/>
        <v>568.3845783647932</v>
      </c>
      <c r="AC51" s="32">
        <f t="shared" si="23"/>
        <v>1.2801454467675524</v>
      </c>
      <c r="AD51" s="33">
        <f t="shared" si="24"/>
        <v>444</v>
      </c>
      <c r="AE51" s="34">
        <f t="shared" si="25"/>
        <v>8.235999999999997</v>
      </c>
      <c r="AF51" s="33">
        <f t="shared" si="26"/>
        <v>1</v>
      </c>
      <c r="AG51" s="23">
        <f t="shared" si="27"/>
        <v>8.235999999999997</v>
      </c>
      <c r="AH51" s="2"/>
      <c r="AI51" s="32">
        <f t="shared" si="28"/>
        <v>1.2</v>
      </c>
      <c r="AJ51" s="32">
        <f t="shared" si="29"/>
        <v>-0.2</v>
      </c>
      <c r="AK51" s="35">
        <f t="shared" si="58"/>
        <v>0</v>
      </c>
      <c r="AL51" s="32">
        <f t="shared" si="30"/>
        <v>0</v>
      </c>
      <c r="AM51" s="23"/>
      <c r="AN51" s="34">
        <f t="shared" si="31"/>
        <v>1.2801454467675524</v>
      </c>
      <c r="AO51" s="36">
        <f t="shared" si="32"/>
        <v>568.3845783647932</v>
      </c>
      <c r="AP51" s="51">
        <f t="shared" si="11"/>
        <v>0.0712261376396984</v>
      </c>
      <c r="AQ51" s="61">
        <f t="shared" si="12"/>
        <v>444</v>
      </c>
      <c r="AR51" s="27"/>
      <c r="AS51" s="50">
        <f t="shared" si="33"/>
        <v>155.1092463570962</v>
      </c>
      <c r="AT51" s="35">
        <f t="shared" si="34"/>
        <v>3.664414544676755</v>
      </c>
      <c r="AU51" s="32">
        <f t="shared" si="35"/>
        <v>0.1</v>
      </c>
      <c r="AV51" s="35">
        <f t="shared" si="36"/>
        <v>0</v>
      </c>
      <c r="AW51" s="35">
        <f t="shared" si="37"/>
        <v>3.664414544676755</v>
      </c>
      <c r="AX51" s="35"/>
      <c r="AY51" s="2"/>
      <c r="AZ51" s="2"/>
      <c r="BA51" s="37">
        <f>BA52-1</f>
        <v>-11</v>
      </c>
      <c r="BB51" s="31">
        <f t="shared" si="38"/>
        <v>0</v>
      </c>
      <c r="BC51" s="32">
        <f t="shared" si="39"/>
        <v>0</v>
      </c>
      <c r="BD51" s="33">
        <f t="shared" si="40"/>
        <v>0</v>
      </c>
      <c r="BE51" s="34">
        <f t="shared" si="41"/>
        <v>0</v>
      </c>
      <c r="BF51" s="33">
        <f t="shared" si="42"/>
        <v>0</v>
      </c>
      <c r="BG51" s="23">
        <f t="shared" si="14"/>
        <v>2.31</v>
      </c>
      <c r="BH51" s="2"/>
      <c r="BI51" s="32">
        <f t="shared" si="15"/>
        <v>0</v>
      </c>
      <c r="BJ51" s="32">
        <f t="shared" si="16"/>
        <v>0</v>
      </c>
      <c r="BK51" s="35">
        <f t="shared" si="43"/>
        <v>0</v>
      </c>
      <c r="BL51" s="35">
        <f t="shared" si="44"/>
        <v>0.5</v>
      </c>
      <c r="BM51" s="32">
        <f t="shared" si="45"/>
        <v>0.5</v>
      </c>
      <c r="BN51" s="34">
        <f t="shared" si="46"/>
        <v>3.450635803589541</v>
      </c>
      <c r="BO51" s="36">
        <f t="shared" si="47"/>
        <v>141.47606794717117</v>
      </c>
      <c r="BP51" s="60">
        <f t="shared" si="48"/>
        <v>0.011819220379880632</v>
      </c>
      <c r="BQ51" s="61">
        <f t="shared" si="49"/>
        <v>41</v>
      </c>
      <c r="BR51" s="2"/>
      <c r="BS51" s="50">
        <f t="shared" si="50"/>
        <v>0</v>
      </c>
      <c r="BT51" s="35">
        <f t="shared" si="51"/>
        <v>2.2</v>
      </c>
      <c r="BU51" s="32">
        <f t="shared" si="52"/>
        <v>0</v>
      </c>
      <c r="BV51" s="35">
        <f t="shared" si="53"/>
        <v>141.47606794717117</v>
      </c>
      <c r="BW51" s="35">
        <f t="shared" si="54"/>
        <v>1</v>
      </c>
      <c r="BX51" s="35"/>
      <c r="BY51" s="6"/>
    </row>
    <row r="52" spans="1:77" ht="12.75" hidden="1">
      <c r="A52" s="40"/>
      <c r="B52" s="18">
        <v>2</v>
      </c>
      <c r="C52" s="31">
        <f t="shared" si="17"/>
        <v>665.668640375377</v>
      </c>
      <c r="D52" s="32">
        <f t="shared" si="18"/>
        <v>2.080214501173053</v>
      </c>
      <c r="E52" s="33">
        <f t="shared" si="0"/>
        <v>320</v>
      </c>
      <c r="F52" s="34">
        <f t="shared" si="19"/>
        <v>7</v>
      </c>
      <c r="G52" s="33">
        <f t="shared" si="20"/>
        <v>1</v>
      </c>
      <c r="H52" s="41">
        <f t="shared" si="1"/>
        <v>7</v>
      </c>
      <c r="I52" s="2"/>
      <c r="J52" s="2"/>
      <c r="K52" s="32">
        <f t="shared" si="2"/>
        <v>0</v>
      </c>
      <c r="L52" s="32">
        <f t="shared" si="3"/>
        <v>0</v>
      </c>
      <c r="M52" s="35">
        <f t="shared" si="4"/>
        <v>1</v>
      </c>
      <c r="N52" s="32">
        <f t="shared" si="56"/>
        <v>0</v>
      </c>
      <c r="O52" s="34">
        <f t="shared" si="21"/>
        <v>2.080214501173053</v>
      </c>
      <c r="P52" s="36">
        <f t="shared" si="22"/>
        <v>665.668640375377</v>
      </c>
      <c r="Q52" s="51">
        <f t="shared" si="5"/>
        <v>0.08341712285405727</v>
      </c>
      <c r="R52" s="61">
        <f t="shared" si="6"/>
        <v>320</v>
      </c>
      <c r="S52" s="28"/>
      <c r="T52" s="50">
        <f t="shared" si="7"/>
        <v>190.19104010725056</v>
      </c>
      <c r="U52" s="35">
        <f t="shared" si="8"/>
        <v>3.5</v>
      </c>
      <c r="V52" s="32">
        <f t="shared" si="9"/>
        <v>0</v>
      </c>
      <c r="W52" s="35">
        <f t="shared" si="10"/>
        <v>0</v>
      </c>
      <c r="X52" s="35">
        <f t="shared" si="57"/>
        <v>3.4999999999999996</v>
      </c>
      <c r="Z52" s="2"/>
      <c r="AA52" s="18">
        <v>14</v>
      </c>
      <c r="AB52" s="31">
        <f t="shared" si="55"/>
        <v>327.7172343724934</v>
      </c>
      <c r="AC52" s="32">
        <f t="shared" si="23"/>
        <v>0.8534302978450349</v>
      </c>
      <c r="AD52" s="33">
        <f t="shared" si="24"/>
        <v>384</v>
      </c>
      <c r="AE52" s="34">
        <f t="shared" si="25"/>
        <v>8.271999999999998</v>
      </c>
      <c r="AF52" s="33">
        <f t="shared" si="26"/>
        <v>1</v>
      </c>
      <c r="AG52" s="23">
        <f t="shared" si="27"/>
        <v>8.271999999999998</v>
      </c>
      <c r="AH52" s="2"/>
      <c r="AI52" s="32">
        <f t="shared" si="28"/>
        <v>1.4</v>
      </c>
      <c r="AJ52" s="32">
        <f t="shared" si="29"/>
        <v>-0.4</v>
      </c>
      <c r="AK52" s="35">
        <f t="shared" si="58"/>
        <v>0</v>
      </c>
      <c r="AL52" s="32">
        <f t="shared" si="30"/>
        <v>0</v>
      </c>
      <c r="AM52" s="23"/>
      <c r="AN52" s="34">
        <f t="shared" si="31"/>
        <v>0.8534302978450349</v>
      </c>
      <c r="AO52" s="36">
        <f t="shared" si="32"/>
        <v>327.7172343724934</v>
      </c>
      <c r="AP52" s="51">
        <f t="shared" si="11"/>
        <v>0.04106732260306935</v>
      </c>
      <c r="AQ52" s="61">
        <f t="shared" si="12"/>
        <v>384</v>
      </c>
      <c r="AR52" s="27"/>
      <c r="AS52" s="50">
        <f t="shared" si="33"/>
        <v>89.09855645056136</v>
      </c>
      <c r="AT52" s="35">
        <f t="shared" si="34"/>
        <v>3.6781430297845037</v>
      </c>
      <c r="AU52" s="32">
        <f t="shared" si="35"/>
        <v>0.1</v>
      </c>
      <c r="AV52" s="35">
        <f t="shared" si="36"/>
        <v>0</v>
      </c>
      <c r="AW52" s="35">
        <f t="shared" si="37"/>
        <v>3.6781430297845037</v>
      </c>
      <c r="AX52" s="35"/>
      <c r="AY52" s="2"/>
      <c r="AZ52" s="2"/>
      <c r="BA52" s="37">
        <v>-10</v>
      </c>
      <c r="BB52" s="31">
        <f t="shared" si="38"/>
        <v>0</v>
      </c>
      <c r="BC52" s="32">
        <f t="shared" si="39"/>
        <v>0</v>
      </c>
      <c r="BD52" s="33">
        <f t="shared" si="40"/>
        <v>0</v>
      </c>
      <c r="BE52" s="34">
        <f t="shared" si="41"/>
        <v>0</v>
      </c>
      <c r="BF52" s="33">
        <f t="shared" si="42"/>
        <v>0</v>
      </c>
      <c r="BG52" s="41">
        <f t="shared" si="14"/>
        <v>2.8875</v>
      </c>
      <c r="BH52" s="2"/>
      <c r="BI52" s="32">
        <f t="shared" si="15"/>
        <v>0</v>
      </c>
      <c r="BJ52" s="32">
        <f t="shared" si="16"/>
        <v>0</v>
      </c>
      <c r="BK52" s="35">
        <f t="shared" si="43"/>
        <v>0</v>
      </c>
      <c r="BL52" s="35">
        <f t="shared" si="44"/>
        <v>0.625</v>
      </c>
      <c r="BM52" s="32">
        <f t="shared" si="45"/>
        <v>0.375</v>
      </c>
      <c r="BN52" s="34">
        <f t="shared" si="46"/>
        <v>3.3228344775306695</v>
      </c>
      <c r="BO52" s="36">
        <f t="shared" si="47"/>
        <v>142.88188253381878</v>
      </c>
      <c r="BP52" s="60">
        <f t="shared" si="48"/>
        <v>0.011936665207503657</v>
      </c>
      <c r="BQ52" s="61">
        <f t="shared" si="49"/>
        <v>43</v>
      </c>
      <c r="BR52" s="27"/>
      <c r="BS52" s="50">
        <f t="shared" si="50"/>
        <v>0</v>
      </c>
      <c r="BT52" s="35">
        <f t="shared" si="51"/>
        <v>2.35</v>
      </c>
      <c r="BU52" s="32">
        <f t="shared" si="52"/>
        <v>0</v>
      </c>
      <c r="BV52" s="35">
        <f t="shared" si="53"/>
        <v>142.88188253381878</v>
      </c>
      <c r="BW52" s="35">
        <f t="shared" si="54"/>
        <v>1</v>
      </c>
      <c r="BX52" s="35"/>
      <c r="BY52" s="6"/>
    </row>
    <row r="53" spans="1:77" ht="12.75" hidden="1">
      <c r="A53" s="40"/>
      <c r="B53" s="18">
        <v>3</v>
      </c>
      <c r="C53" s="31">
        <f t="shared" si="17"/>
        <v>689.5911071388671</v>
      </c>
      <c r="D53" s="32">
        <f t="shared" si="18"/>
        <v>1.9316277510892634</v>
      </c>
      <c r="E53" s="33">
        <f t="shared" si="0"/>
        <v>357</v>
      </c>
      <c r="F53" s="34">
        <f t="shared" si="19"/>
        <v>7.204000000000001</v>
      </c>
      <c r="G53" s="33">
        <f t="shared" si="20"/>
        <v>1</v>
      </c>
      <c r="H53" s="41">
        <f t="shared" si="1"/>
        <v>7.204000000000001</v>
      </c>
      <c r="I53" s="2"/>
      <c r="J53" s="2"/>
      <c r="K53" s="32">
        <f t="shared" si="2"/>
        <v>0</v>
      </c>
      <c r="L53" s="32">
        <f t="shared" si="3"/>
        <v>0.19999999999999996</v>
      </c>
      <c r="M53" s="35">
        <f t="shared" si="4"/>
        <v>0.8</v>
      </c>
      <c r="N53" s="32">
        <f t="shared" si="56"/>
        <v>0</v>
      </c>
      <c r="O53" s="34">
        <f t="shared" si="21"/>
        <v>1.9316277510892634</v>
      </c>
      <c r="P53" s="36">
        <f t="shared" si="22"/>
        <v>689.5911071388671</v>
      </c>
      <c r="Q53" s="51">
        <f t="shared" si="5"/>
        <v>0.08641492570662494</v>
      </c>
      <c r="R53" s="61">
        <f t="shared" si="6"/>
        <v>357</v>
      </c>
      <c r="S53" s="28"/>
      <c r="T53" s="50">
        <f t="shared" si="7"/>
        <v>191.55308531635197</v>
      </c>
      <c r="U53" s="35">
        <f t="shared" si="8"/>
        <v>3.6</v>
      </c>
      <c r="V53" s="32">
        <f t="shared" si="9"/>
        <v>0</v>
      </c>
      <c r="W53" s="35">
        <f t="shared" si="10"/>
        <v>0</v>
      </c>
      <c r="X53" s="35">
        <f t="shared" si="57"/>
        <v>3.6</v>
      </c>
      <c r="Z53" s="2"/>
      <c r="AA53" s="18">
        <v>15</v>
      </c>
      <c r="AB53" s="31">
        <f t="shared" si="55"/>
        <v>125.45425378322015</v>
      </c>
      <c r="AC53" s="32">
        <f t="shared" si="23"/>
        <v>0.42671514892251755</v>
      </c>
      <c r="AD53" s="33">
        <f t="shared" si="24"/>
        <v>294</v>
      </c>
      <c r="AE53" s="34">
        <f t="shared" si="25"/>
        <v>8.308</v>
      </c>
      <c r="AF53" s="33">
        <f t="shared" si="26"/>
        <v>1</v>
      </c>
      <c r="AG53" s="23">
        <f t="shared" si="27"/>
        <v>8.308</v>
      </c>
      <c r="AH53" s="2"/>
      <c r="AI53" s="32">
        <f t="shared" si="28"/>
        <v>1.6</v>
      </c>
      <c r="AJ53" s="32">
        <f t="shared" si="29"/>
        <v>-0.6</v>
      </c>
      <c r="AK53" s="35">
        <f t="shared" si="58"/>
        <v>0</v>
      </c>
      <c r="AL53" s="32">
        <f t="shared" si="30"/>
        <v>0</v>
      </c>
      <c r="AM53" s="23"/>
      <c r="AN53" s="34">
        <f t="shared" si="31"/>
        <v>0.42671514892251755</v>
      </c>
      <c r="AO53" s="36">
        <f t="shared" si="32"/>
        <v>125.45425378322015</v>
      </c>
      <c r="AP53" s="51">
        <f t="shared" si="11"/>
        <v>0.015721084433987488</v>
      </c>
      <c r="AQ53" s="61">
        <f t="shared" si="12"/>
        <v>294</v>
      </c>
      <c r="AR53" s="27"/>
      <c r="AS53" s="50">
        <f t="shared" si="33"/>
        <v>33.98120798006199</v>
      </c>
      <c r="AT53" s="35">
        <f t="shared" si="34"/>
        <v>3.6918715148922523</v>
      </c>
      <c r="AU53" s="32">
        <f t="shared" si="35"/>
        <v>0.1</v>
      </c>
      <c r="AV53" s="35">
        <f t="shared" si="36"/>
        <v>0</v>
      </c>
      <c r="AW53" s="35">
        <f t="shared" si="37"/>
        <v>3.6918715148922527</v>
      </c>
      <c r="AX53" s="35"/>
      <c r="AY53" s="2"/>
      <c r="AZ53" s="2"/>
      <c r="BA53" s="18">
        <v>-9</v>
      </c>
      <c r="BB53" s="31">
        <f t="shared" si="38"/>
        <v>172.531790179477</v>
      </c>
      <c r="BC53" s="32">
        <f t="shared" si="39"/>
        <v>3.1950331514717965</v>
      </c>
      <c r="BD53" s="33">
        <f t="shared" si="40"/>
        <v>54</v>
      </c>
      <c r="BE53" s="34">
        <f t="shared" si="41"/>
        <v>3.465</v>
      </c>
      <c r="BF53" s="33">
        <f t="shared" si="42"/>
        <v>1</v>
      </c>
      <c r="BG53" s="41">
        <f t="shared" si="14"/>
        <v>3.465</v>
      </c>
      <c r="BH53" s="2"/>
      <c r="BI53" s="32">
        <f t="shared" si="15"/>
        <v>0</v>
      </c>
      <c r="BJ53" s="32">
        <f t="shared" si="16"/>
        <v>0</v>
      </c>
      <c r="BK53" s="35">
        <f t="shared" si="43"/>
        <v>0</v>
      </c>
      <c r="BL53" s="35">
        <f t="shared" si="44"/>
        <v>0.75</v>
      </c>
      <c r="BM53" s="32">
        <f t="shared" si="45"/>
        <v>0.25</v>
      </c>
      <c r="BN53" s="34">
        <f t="shared" si="46"/>
        <v>3.1950331514717965</v>
      </c>
      <c r="BO53" s="36">
        <f t="shared" si="47"/>
        <v>172.531790179477</v>
      </c>
      <c r="BP53" s="60">
        <f t="shared" si="48"/>
        <v>0.01441368339009833</v>
      </c>
      <c r="BQ53" s="61">
        <f t="shared" si="49"/>
        <v>54</v>
      </c>
      <c r="BR53" s="27"/>
      <c r="BS53" s="50">
        <f t="shared" si="50"/>
        <v>69.01271607179082</v>
      </c>
      <c r="BT53" s="35">
        <f t="shared" si="51"/>
        <v>2.4999999999999996</v>
      </c>
      <c r="BU53" s="32">
        <f t="shared" si="52"/>
        <v>0</v>
      </c>
      <c r="BV53" s="35">
        <f t="shared" si="53"/>
        <v>0</v>
      </c>
      <c r="BW53" s="35">
        <f t="shared" si="54"/>
        <v>2.4999999999999996</v>
      </c>
      <c r="BX53" s="35"/>
      <c r="BY53" s="6"/>
    </row>
    <row r="54" spans="1:77" ht="12.75" hidden="1">
      <c r="A54" s="40"/>
      <c r="B54" s="18">
        <v>4</v>
      </c>
      <c r="C54" s="31">
        <f t="shared" si="17"/>
        <v>634.7625963579488</v>
      </c>
      <c r="D54" s="32">
        <f t="shared" si="18"/>
        <v>1.7830410010054742</v>
      </c>
      <c r="E54" s="33">
        <f t="shared" si="0"/>
        <v>356</v>
      </c>
      <c r="F54" s="34">
        <f t="shared" si="19"/>
        <v>7.408</v>
      </c>
      <c r="G54" s="33">
        <f t="shared" si="20"/>
        <v>1</v>
      </c>
      <c r="H54" s="41">
        <f t="shared" si="1"/>
        <v>7.408</v>
      </c>
      <c r="I54" s="2"/>
      <c r="J54" s="2"/>
      <c r="K54" s="32">
        <f t="shared" si="2"/>
        <v>0</v>
      </c>
      <c r="L54" s="32">
        <f t="shared" si="3"/>
        <v>0.4</v>
      </c>
      <c r="M54" s="35">
        <f t="shared" si="4"/>
        <v>0.6</v>
      </c>
      <c r="N54" s="32">
        <f t="shared" si="56"/>
        <v>0</v>
      </c>
      <c r="O54" s="34">
        <f t="shared" si="21"/>
        <v>1.7830410010054742</v>
      </c>
      <c r="P54" s="36">
        <f t="shared" si="22"/>
        <v>634.7625963579488</v>
      </c>
      <c r="Q54" s="51">
        <f t="shared" si="5"/>
        <v>0.07954418500726176</v>
      </c>
      <c r="R54" s="61">
        <f t="shared" si="6"/>
        <v>356</v>
      </c>
      <c r="S54" s="28"/>
      <c r="T54" s="50">
        <f t="shared" si="7"/>
        <v>202.31450736195265</v>
      </c>
      <c r="U54" s="35">
        <f t="shared" si="8"/>
        <v>3.1375041001005477</v>
      </c>
      <c r="V54" s="32">
        <f t="shared" si="9"/>
        <v>0.1</v>
      </c>
      <c r="W54" s="35">
        <f t="shared" si="10"/>
        <v>0</v>
      </c>
      <c r="X54" s="35">
        <f t="shared" si="57"/>
        <v>3.1375041001005477</v>
      </c>
      <c r="Z54" s="2"/>
      <c r="AA54" s="18">
        <v>16</v>
      </c>
      <c r="AB54" s="42"/>
      <c r="AC54" s="43"/>
      <c r="AD54" s="44"/>
      <c r="AE54" s="45"/>
      <c r="AF54" s="44"/>
      <c r="AG54" s="23"/>
      <c r="AH54" s="2"/>
      <c r="AI54" s="32"/>
      <c r="AJ54" s="32"/>
      <c r="AK54" s="35"/>
      <c r="AL54" s="32"/>
      <c r="AM54" s="23"/>
      <c r="AN54" s="34"/>
      <c r="AO54" s="36"/>
      <c r="AP54" s="51"/>
      <c r="AQ54" s="28"/>
      <c r="AR54" s="27"/>
      <c r="AS54" s="47"/>
      <c r="AT54" s="43"/>
      <c r="AU54" s="43"/>
      <c r="AV54" s="43"/>
      <c r="AW54" s="43"/>
      <c r="AX54" s="35"/>
      <c r="AY54" s="2"/>
      <c r="AZ54" s="2"/>
      <c r="BA54" s="18">
        <v>-8</v>
      </c>
      <c r="BB54" s="31">
        <f t="shared" si="38"/>
        <v>276.0508642871633</v>
      </c>
      <c r="BC54" s="32">
        <f t="shared" si="39"/>
        <v>3.067231825412925</v>
      </c>
      <c r="BD54" s="33">
        <f t="shared" si="40"/>
        <v>90</v>
      </c>
      <c r="BE54" s="34">
        <f t="shared" si="41"/>
        <v>4.0425</v>
      </c>
      <c r="BF54" s="33">
        <f t="shared" si="42"/>
        <v>1</v>
      </c>
      <c r="BG54" s="41">
        <f t="shared" si="14"/>
        <v>4.0425</v>
      </c>
      <c r="BH54" s="2"/>
      <c r="BI54" s="32">
        <f t="shared" si="15"/>
        <v>0</v>
      </c>
      <c r="BJ54" s="32">
        <f t="shared" si="16"/>
        <v>0</v>
      </c>
      <c r="BK54" s="35">
        <f t="shared" si="43"/>
        <v>0</v>
      </c>
      <c r="BL54" s="35">
        <f t="shared" si="44"/>
        <v>0.875</v>
      </c>
      <c r="BM54" s="32">
        <f t="shared" si="45"/>
        <v>0.125</v>
      </c>
      <c r="BN54" s="34">
        <f t="shared" si="46"/>
        <v>3.067231825412925</v>
      </c>
      <c r="BO54" s="36">
        <f t="shared" si="47"/>
        <v>276.0508642871633</v>
      </c>
      <c r="BP54" s="60">
        <f t="shared" si="48"/>
        <v>0.023061893424157334</v>
      </c>
      <c r="BQ54" s="61">
        <f t="shared" si="49"/>
        <v>90</v>
      </c>
      <c r="BR54" s="27"/>
      <c r="BS54" s="50">
        <f t="shared" si="50"/>
        <v>104.17013746685407</v>
      </c>
      <c r="BT54" s="35">
        <f t="shared" si="51"/>
        <v>2.65</v>
      </c>
      <c r="BU54" s="32">
        <f t="shared" si="52"/>
        <v>0</v>
      </c>
      <c r="BV54" s="35">
        <f t="shared" si="53"/>
        <v>0</v>
      </c>
      <c r="BW54" s="35">
        <f t="shared" si="54"/>
        <v>2.65</v>
      </c>
      <c r="BX54" s="35"/>
      <c r="BY54" s="6"/>
    </row>
    <row r="55" spans="1:77" ht="12.75" hidden="1">
      <c r="A55" s="2"/>
      <c r="B55" s="18">
        <v>5</v>
      </c>
      <c r="C55" s="31">
        <f t="shared" si="17"/>
        <v>495.23963802927045</v>
      </c>
      <c r="D55" s="32">
        <f t="shared" si="18"/>
        <v>1.6344542509216846</v>
      </c>
      <c r="E55" s="33">
        <f t="shared" si="0"/>
        <v>303</v>
      </c>
      <c r="F55" s="34">
        <f t="shared" si="19"/>
        <v>7.612</v>
      </c>
      <c r="G55" s="33">
        <f t="shared" si="20"/>
        <v>1</v>
      </c>
      <c r="H55" s="41">
        <f t="shared" si="1"/>
        <v>7.612</v>
      </c>
      <c r="I55" s="2"/>
      <c r="J55" s="2"/>
      <c r="K55" s="32">
        <f t="shared" si="2"/>
        <v>0</v>
      </c>
      <c r="L55" s="32">
        <f t="shared" si="3"/>
        <v>0.6</v>
      </c>
      <c r="M55" s="35">
        <f t="shared" si="4"/>
        <v>0.4</v>
      </c>
      <c r="N55" s="32">
        <f t="shared" si="56"/>
        <v>0</v>
      </c>
      <c r="O55" s="34">
        <f t="shared" si="21"/>
        <v>1.6344542509216846</v>
      </c>
      <c r="P55" s="36">
        <f t="shared" si="22"/>
        <v>495.23963802927045</v>
      </c>
      <c r="Q55" s="51">
        <f t="shared" si="5"/>
        <v>0.0620601050161993</v>
      </c>
      <c r="R55" s="61">
        <f t="shared" si="6"/>
        <v>303</v>
      </c>
      <c r="S55" s="28"/>
      <c r="T55" s="50">
        <f t="shared" si="7"/>
        <v>154.6538669861684</v>
      </c>
      <c r="U55" s="35">
        <f t="shared" si="8"/>
        <v>3.202245425092168</v>
      </c>
      <c r="V55" s="32">
        <f t="shared" si="9"/>
        <v>0.1</v>
      </c>
      <c r="W55" s="35">
        <f t="shared" si="10"/>
        <v>0</v>
      </c>
      <c r="X55" s="35">
        <f t="shared" si="57"/>
        <v>3.202245425092168</v>
      </c>
      <c r="Z55" s="2"/>
      <c r="AA55" s="28"/>
      <c r="AB55" s="31">
        <f>SUM(LhpW_tp)</f>
        <v>7979.999999999999</v>
      </c>
      <c r="AC55" s="28"/>
      <c r="AD55" s="48">
        <f>SUM(AD40:AD54)</f>
        <v>3590</v>
      </c>
      <c r="AE55" s="28"/>
      <c r="AF55" s="28"/>
      <c r="AG55" s="32"/>
      <c r="AH55" s="2"/>
      <c r="AI55" s="32"/>
      <c r="AJ55" s="32"/>
      <c r="AK55" s="32"/>
      <c r="AL55" s="32"/>
      <c r="AM55" s="2"/>
      <c r="AN55" s="28"/>
      <c r="AO55" s="31">
        <f>SUM(AO39:AO54)</f>
        <v>7979.999999999999</v>
      </c>
      <c r="AP55" s="28">
        <f>SUM(fracW_tp)</f>
        <v>1</v>
      </c>
      <c r="AQ55" s="31">
        <f>SUM(AQ39:AQ54)</f>
        <v>3590</v>
      </c>
      <c r="AR55" s="27"/>
      <c r="AS55" s="31">
        <f>SUM(QhpW_tp)</f>
        <v>2021.7083959189881</v>
      </c>
      <c r="AT55" s="55">
        <f>AB55/AS55</f>
        <v>3.9471567789441804</v>
      </c>
      <c r="AU55" s="55"/>
      <c r="AV55" s="31">
        <f>SUM(resW_tp)</f>
        <v>0</v>
      </c>
      <c r="AW55" s="55">
        <f>AO55/(AS55+AV55)</f>
        <v>3.9471567789441804</v>
      </c>
      <c r="AX55" s="27"/>
      <c r="AY55" s="2"/>
      <c r="AZ55" s="2"/>
      <c r="BA55" s="18">
        <v>-7</v>
      </c>
      <c r="BB55" s="31">
        <f t="shared" si="38"/>
        <v>367.42881241925664</v>
      </c>
      <c r="BC55" s="32">
        <f t="shared" si="39"/>
        <v>2.939430499354053</v>
      </c>
      <c r="BD55" s="33">
        <f t="shared" si="40"/>
        <v>125</v>
      </c>
      <c r="BE55" s="34">
        <f t="shared" si="41"/>
        <v>4.62</v>
      </c>
      <c r="BF55" s="33">
        <f t="shared" si="42"/>
        <v>1</v>
      </c>
      <c r="BG55" s="41">
        <f t="shared" si="14"/>
        <v>4.62</v>
      </c>
      <c r="BH55" s="2"/>
      <c r="BI55" s="32">
        <f t="shared" si="15"/>
        <v>0</v>
      </c>
      <c r="BJ55" s="32">
        <f t="shared" si="16"/>
        <v>0</v>
      </c>
      <c r="BK55" s="35">
        <f t="shared" si="43"/>
        <v>0</v>
      </c>
      <c r="BL55" s="35">
        <f t="shared" si="44"/>
        <v>1</v>
      </c>
      <c r="BM55" s="32">
        <f t="shared" si="45"/>
        <v>0</v>
      </c>
      <c r="BN55" s="34">
        <f t="shared" si="46"/>
        <v>2.939430499354053</v>
      </c>
      <c r="BO55" s="36">
        <f t="shared" si="47"/>
        <v>367.42881241925664</v>
      </c>
      <c r="BP55" s="60">
        <f t="shared" si="48"/>
        <v>0.030695807219653856</v>
      </c>
      <c r="BQ55" s="61">
        <f t="shared" si="49"/>
        <v>125</v>
      </c>
      <c r="BR55" s="27"/>
      <c r="BS55" s="50">
        <f t="shared" si="50"/>
        <v>131.22457586402024</v>
      </c>
      <c r="BT55" s="35">
        <f t="shared" si="51"/>
        <v>2.8</v>
      </c>
      <c r="BU55" s="32">
        <f t="shared" si="52"/>
        <v>0</v>
      </c>
      <c r="BV55" s="35">
        <f t="shared" si="53"/>
        <v>0</v>
      </c>
      <c r="BW55" s="35">
        <f t="shared" si="54"/>
        <v>2.7999999999999994</v>
      </c>
      <c r="BX55" s="35"/>
      <c r="BY55" s="6"/>
    </row>
    <row r="56" spans="1:77" ht="12.75" hidden="1">
      <c r="A56" s="30"/>
      <c r="B56" s="18">
        <v>6</v>
      </c>
      <c r="C56" s="31">
        <f t="shared" si="17"/>
        <v>490.3362752765053</v>
      </c>
      <c r="D56" s="32">
        <f t="shared" si="18"/>
        <v>1.485867500837895</v>
      </c>
      <c r="E56" s="33">
        <f t="shared" si="0"/>
        <v>330</v>
      </c>
      <c r="F56" s="34">
        <f t="shared" si="19"/>
        <v>7.816000000000001</v>
      </c>
      <c r="G56" s="33">
        <f t="shared" si="20"/>
        <v>1</v>
      </c>
      <c r="H56" s="41">
        <f t="shared" si="1"/>
        <v>7.816000000000001</v>
      </c>
      <c r="I56" s="2"/>
      <c r="J56" s="2"/>
      <c r="K56" s="32">
        <f t="shared" si="2"/>
        <v>0</v>
      </c>
      <c r="L56" s="32">
        <f>IF(AND(ToutA_tp&lt;tst1,ToutA_tp&gt;=tst2),(ToutA_tp-tst1)/(tst2-tst1),IF(AND(ToutA_tp&gt;tst3,ToutA_tp&lt;tst2),1-(ToutA_tp-tst2)/(tst3-tst2),IF(ToutA_tp&gt;tst1,(ToutA_tp-tst1)/(tst2-tst1),0)))</f>
        <v>0.8</v>
      </c>
      <c r="M56" s="35">
        <f t="shared" si="4"/>
        <v>0.2</v>
      </c>
      <c r="N56" s="32">
        <f t="shared" si="56"/>
        <v>0</v>
      </c>
      <c r="O56" s="34">
        <f t="shared" si="21"/>
        <v>1.485867500837895</v>
      </c>
      <c r="P56" s="36">
        <f t="shared" si="22"/>
        <v>490.3362752765053</v>
      </c>
      <c r="Q56" s="51">
        <f t="shared" si="5"/>
        <v>0.06144564853089039</v>
      </c>
      <c r="R56" s="61">
        <f t="shared" si="6"/>
        <v>330</v>
      </c>
      <c r="S56" s="28"/>
      <c r="T56" s="50">
        <f t="shared" si="7"/>
        <v>150.0882350575586</v>
      </c>
      <c r="U56" s="35">
        <f t="shared" si="8"/>
        <v>3.26698675008379</v>
      </c>
      <c r="V56" s="32">
        <f t="shared" si="9"/>
        <v>0.1</v>
      </c>
      <c r="W56" s="35">
        <f t="shared" si="10"/>
        <v>0</v>
      </c>
      <c r="X56" s="35">
        <f t="shared" si="57"/>
        <v>3.26698675008379</v>
      </c>
      <c r="Z56" s="30"/>
      <c r="AA56" s="2"/>
      <c r="AB56" s="2"/>
      <c r="AC56" s="2"/>
      <c r="AD56" s="4" t="s">
        <v>27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"/>
      <c r="AT56" s="6"/>
      <c r="AU56" s="27"/>
      <c r="AV56" s="6"/>
      <c r="AW56" s="6"/>
      <c r="AX56" s="6"/>
      <c r="AY56" s="2"/>
      <c r="AZ56" s="2"/>
      <c r="BA56" s="18">
        <v>-6</v>
      </c>
      <c r="BB56" s="31">
        <f t="shared" si="38"/>
        <v>475.16533028688553</v>
      </c>
      <c r="BC56" s="32">
        <f t="shared" si="39"/>
        <v>2.811629173295181</v>
      </c>
      <c r="BD56" s="33">
        <f t="shared" si="40"/>
        <v>169</v>
      </c>
      <c r="BE56" s="34">
        <f t="shared" si="41"/>
        <v>4.884444444444444</v>
      </c>
      <c r="BF56" s="33">
        <f t="shared" si="42"/>
        <v>1</v>
      </c>
      <c r="BG56" s="41">
        <f t="shared" si="14"/>
        <v>4.884444444444444</v>
      </c>
      <c r="BH56" s="2"/>
      <c r="BI56" s="32">
        <f t="shared" si="15"/>
        <v>0</v>
      </c>
      <c r="BJ56" s="32">
        <f t="shared" si="16"/>
        <v>0</v>
      </c>
      <c r="BK56" s="35">
        <f>IF(AND(ToutC_tp&lt;tst2,ToutC_tp&gt;=tst3),(ToutC_tp-tst2)/(tst3-tst2),IF(AND(ToutC_tp&gt;tst4,ToutC_tp&lt;tst3),1-(ToutC_tp-tst3)/(tst4-tst3),IF(ToutC_tp&lt;tst4,0,0)))</f>
        <v>0.11111111111111116</v>
      </c>
      <c r="BL56" s="35">
        <f t="shared" si="44"/>
        <v>0.8888888888888888</v>
      </c>
      <c r="BM56" s="32">
        <f t="shared" si="45"/>
        <v>0</v>
      </c>
      <c r="BN56" s="34">
        <f t="shared" si="46"/>
        <v>2.811629173295181</v>
      </c>
      <c r="BO56" s="36">
        <f t="shared" si="47"/>
        <v>475.16533028688553</v>
      </c>
      <c r="BP56" s="60">
        <f t="shared" si="48"/>
        <v>0.03969635173658192</v>
      </c>
      <c r="BQ56" s="61">
        <f t="shared" si="49"/>
        <v>169</v>
      </c>
      <c r="BR56" s="27"/>
      <c r="BS56" s="50">
        <f t="shared" si="50"/>
        <v>165.11536573675562</v>
      </c>
      <c r="BT56" s="35">
        <f t="shared" si="51"/>
        <v>2.8777777777777773</v>
      </c>
      <c r="BU56" s="32">
        <f t="shared" si="52"/>
        <v>0</v>
      </c>
      <c r="BV56" s="35">
        <f t="shared" si="53"/>
        <v>0</v>
      </c>
      <c r="BW56" s="35">
        <f t="shared" si="54"/>
        <v>2.8777777777777773</v>
      </c>
      <c r="BX56" s="35"/>
      <c r="BY56" s="6"/>
    </row>
    <row r="57" spans="1:77" ht="12.75" hidden="1">
      <c r="A57" s="2"/>
      <c r="B57" s="18">
        <v>7</v>
      </c>
      <c r="C57" s="31">
        <f t="shared" si="17"/>
        <v>435.9535247458384</v>
      </c>
      <c r="D57" s="32">
        <f t="shared" si="18"/>
        <v>1.3372807507541056</v>
      </c>
      <c r="E57" s="33">
        <f t="shared" si="0"/>
        <v>326</v>
      </c>
      <c r="F57" s="34">
        <f t="shared" si="19"/>
        <v>8.02</v>
      </c>
      <c r="G57" s="33">
        <f t="shared" si="20"/>
        <v>1</v>
      </c>
      <c r="H57" s="38">
        <f t="shared" si="1"/>
        <v>8.02</v>
      </c>
      <c r="I57" s="2"/>
      <c r="J57" s="2"/>
      <c r="K57" s="32">
        <f t="shared" si="2"/>
        <v>0</v>
      </c>
      <c r="L57" s="32">
        <f aca="true" t="shared" si="59" ref="L57:L65">IF(AND(ToutA_tp&lt;tst1,ToutA_tp&gt;=tst2),(ToutA_tp-tst1)/(tst2-tst1),IF(AND(ToutA_tp&gt;tst3,ToutA_tp&lt;tst2),1-(ToutA_tp-tst2)/(tst3-tst2),IF(ToutA_tp&gt;tst1,(ToutA_tp-tst1)/(tst2-tst1),0)))</f>
        <v>1</v>
      </c>
      <c r="M57" s="35">
        <f t="shared" si="4"/>
        <v>0</v>
      </c>
      <c r="N57" s="32">
        <f t="shared" si="56"/>
        <v>0</v>
      </c>
      <c r="O57" s="34">
        <f t="shared" si="21"/>
        <v>1.3372807507541056</v>
      </c>
      <c r="P57" s="36">
        <f t="shared" si="22"/>
        <v>435.9535247458384</v>
      </c>
      <c r="Q57" s="51">
        <f t="shared" si="5"/>
        <v>0.05463076751200983</v>
      </c>
      <c r="R57" s="61">
        <f t="shared" si="6"/>
        <v>326</v>
      </c>
      <c r="S57" s="28"/>
      <c r="T57" s="50">
        <f t="shared" si="7"/>
        <v>130.84907138946835</v>
      </c>
      <c r="U57" s="35">
        <f t="shared" si="8"/>
        <v>3.331728075075411</v>
      </c>
      <c r="V57" s="32">
        <f t="shared" si="9"/>
        <v>0.1</v>
      </c>
      <c r="W57" s="35">
        <f t="shared" si="10"/>
        <v>0</v>
      </c>
      <c r="X57" s="35">
        <f t="shared" si="57"/>
        <v>3.3317280750754112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8"/>
      <c r="AV57" s="2"/>
      <c r="AW57" s="2"/>
      <c r="AX57" s="2"/>
      <c r="AY57" s="2"/>
      <c r="AZ57" s="2"/>
      <c r="BA57" s="18">
        <v>-5</v>
      </c>
      <c r="BB57" s="31">
        <f t="shared" si="38"/>
        <v>523.3464302110802</v>
      </c>
      <c r="BC57" s="32">
        <f t="shared" si="39"/>
        <v>2.683827847236309</v>
      </c>
      <c r="BD57" s="33">
        <f t="shared" si="40"/>
        <v>195</v>
      </c>
      <c r="BE57" s="34">
        <f t="shared" si="41"/>
        <v>5.148888888888889</v>
      </c>
      <c r="BF57" s="33">
        <f t="shared" si="42"/>
        <v>1</v>
      </c>
      <c r="BG57" s="41">
        <f t="shared" si="14"/>
        <v>5.148888888888889</v>
      </c>
      <c r="BH57" s="2"/>
      <c r="BI57" s="32">
        <f t="shared" si="15"/>
        <v>0</v>
      </c>
      <c r="BJ57" s="32">
        <f t="shared" si="16"/>
        <v>0</v>
      </c>
      <c r="BK57" s="35">
        <f t="shared" si="43"/>
        <v>0.2222222222222222</v>
      </c>
      <c r="BL57" s="35">
        <f t="shared" si="44"/>
        <v>0.7777777777777778</v>
      </c>
      <c r="BM57" s="32">
        <f t="shared" si="45"/>
        <v>0</v>
      </c>
      <c r="BN57" s="34">
        <f t="shared" si="46"/>
        <v>2.683827847236309</v>
      </c>
      <c r="BO57" s="36">
        <f t="shared" si="47"/>
        <v>523.3464302110802</v>
      </c>
      <c r="BP57" s="60">
        <f t="shared" si="48"/>
        <v>0.04372150628329827</v>
      </c>
      <c r="BQ57" s="61">
        <f t="shared" si="49"/>
        <v>195</v>
      </c>
      <c r="BR57" s="27"/>
      <c r="BS57" s="50">
        <f t="shared" si="50"/>
        <v>177.072100447358</v>
      </c>
      <c r="BT57" s="35">
        <f t="shared" si="51"/>
        <v>2.9555555555555553</v>
      </c>
      <c r="BU57" s="32">
        <f t="shared" si="52"/>
        <v>0</v>
      </c>
      <c r="BV57" s="35">
        <f t="shared" si="53"/>
        <v>0</v>
      </c>
      <c r="BW57" s="35">
        <f t="shared" si="54"/>
        <v>2.9555555555555553</v>
      </c>
      <c r="BX57" s="35"/>
      <c r="BY57" s="6"/>
    </row>
    <row r="58" spans="1:77" ht="12.75" hidden="1">
      <c r="A58" s="49"/>
      <c r="B58" s="18">
        <v>8</v>
      </c>
      <c r="C58" s="31">
        <f t="shared" si="17"/>
        <v>413.66551223327</v>
      </c>
      <c r="D58" s="32">
        <f t="shared" si="18"/>
        <v>1.1886940006703162</v>
      </c>
      <c r="E58" s="33">
        <f t="shared" si="0"/>
        <v>348</v>
      </c>
      <c r="F58" s="34">
        <f t="shared" si="19"/>
        <v>8.056</v>
      </c>
      <c r="G58" s="33">
        <f t="shared" si="20"/>
        <v>1</v>
      </c>
      <c r="H58" s="38">
        <f t="shared" si="1"/>
        <v>8.056</v>
      </c>
      <c r="I58" s="2"/>
      <c r="J58" s="2"/>
      <c r="K58" s="32">
        <f aca="true" t="shared" si="60" ref="K58:K65">IF(ToutA_tp&gt;=tst1,1+(ToutA_tp-tst1)/(tst1-tst2),IF(AND(ToutA_tp&gt;tst2,ToutA_tp&lt;tst1),1-(ToutA_tp-tst1)/(tst2-tst1),0))</f>
        <v>0.19999999999999996</v>
      </c>
      <c r="L58" s="32">
        <f t="shared" si="59"/>
        <v>0.8</v>
      </c>
      <c r="M58" s="35">
        <f t="shared" si="4"/>
        <v>0</v>
      </c>
      <c r="N58" s="32">
        <f t="shared" si="56"/>
        <v>0</v>
      </c>
      <c r="O58" s="34">
        <f t="shared" si="21"/>
        <v>1.1886940006703162</v>
      </c>
      <c r="P58" s="36">
        <f t="shared" si="22"/>
        <v>413.66551223327</v>
      </c>
      <c r="Q58" s="51">
        <f t="shared" si="5"/>
        <v>0.05183778348787845</v>
      </c>
      <c r="R58" s="61">
        <f t="shared" si="6"/>
        <v>348</v>
      </c>
      <c r="S58" s="28"/>
      <c r="T58" s="50">
        <f t="shared" si="7"/>
        <v>122.63044043415269</v>
      </c>
      <c r="U58" s="35">
        <f t="shared" si="8"/>
        <v>3.373269400067031</v>
      </c>
      <c r="V58" s="32">
        <f t="shared" si="9"/>
        <v>0.1</v>
      </c>
      <c r="W58" s="35">
        <f t="shared" si="10"/>
        <v>0</v>
      </c>
      <c r="X58" s="35">
        <f t="shared" si="57"/>
        <v>3.3732694000670316</v>
      </c>
      <c r="Z58" s="49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8"/>
      <c r="AV58" s="2"/>
      <c r="AW58" s="2"/>
      <c r="AX58" s="2"/>
      <c r="AY58" s="2"/>
      <c r="AZ58" s="2"/>
      <c r="BA58" s="18">
        <v>-4</v>
      </c>
      <c r="BB58" s="31">
        <f t="shared" si="38"/>
        <v>710.5753728873276</v>
      </c>
      <c r="BC58" s="32">
        <f t="shared" si="39"/>
        <v>2.5560265211774373</v>
      </c>
      <c r="BD58" s="33">
        <f t="shared" si="40"/>
        <v>278</v>
      </c>
      <c r="BE58" s="34">
        <f t="shared" si="41"/>
        <v>5.413333333333334</v>
      </c>
      <c r="BF58" s="33">
        <f t="shared" si="42"/>
        <v>1</v>
      </c>
      <c r="BG58" s="41">
        <f t="shared" si="14"/>
        <v>5.413333333333334</v>
      </c>
      <c r="BH58" s="2"/>
      <c r="BI58" s="32">
        <f t="shared" si="15"/>
        <v>0</v>
      </c>
      <c r="BJ58" s="32">
        <f t="shared" si="16"/>
        <v>0</v>
      </c>
      <c r="BK58" s="35">
        <f t="shared" si="43"/>
        <v>0.33333333333333337</v>
      </c>
      <c r="BL58" s="35">
        <f t="shared" si="44"/>
        <v>0.6666666666666666</v>
      </c>
      <c r="BM58" s="32">
        <f t="shared" si="45"/>
        <v>0</v>
      </c>
      <c r="BN58" s="34">
        <f t="shared" si="46"/>
        <v>2.5560265211774373</v>
      </c>
      <c r="BO58" s="36">
        <f t="shared" si="47"/>
        <v>710.5753728873276</v>
      </c>
      <c r="BP58" s="60">
        <f t="shared" si="48"/>
        <v>0.05936302196218276</v>
      </c>
      <c r="BQ58" s="61">
        <f t="shared" si="49"/>
        <v>278</v>
      </c>
      <c r="BR58" s="27"/>
      <c r="BS58" s="50">
        <f t="shared" si="50"/>
        <v>234.25561743538273</v>
      </c>
      <c r="BT58" s="35">
        <f t="shared" si="51"/>
        <v>3.033333333333333</v>
      </c>
      <c r="BU58" s="32">
        <f t="shared" si="52"/>
        <v>0</v>
      </c>
      <c r="BV58" s="35">
        <f t="shared" si="53"/>
        <v>0</v>
      </c>
      <c r="BW58" s="35">
        <f t="shared" si="54"/>
        <v>3.033333333333333</v>
      </c>
      <c r="BX58" s="35"/>
      <c r="BY58" s="6"/>
    </row>
    <row r="59" spans="1:77" ht="12.75" hidden="1">
      <c r="A59" s="49"/>
      <c r="B59" s="18">
        <v>9</v>
      </c>
      <c r="C59" s="31">
        <f t="shared" si="17"/>
        <v>348.4359289464864</v>
      </c>
      <c r="D59" s="32">
        <f t="shared" si="18"/>
        <v>1.0401072505865265</v>
      </c>
      <c r="E59" s="33">
        <f t="shared" si="0"/>
        <v>335</v>
      </c>
      <c r="F59" s="34">
        <f t="shared" si="19"/>
        <v>8.091999999999999</v>
      </c>
      <c r="G59" s="33">
        <f t="shared" si="20"/>
        <v>1</v>
      </c>
      <c r="H59" s="38">
        <f t="shared" si="1"/>
        <v>8.091999999999999</v>
      </c>
      <c r="I59" s="2"/>
      <c r="J59" s="2"/>
      <c r="K59" s="32">
        <f t="shared" si="60"/>
        <v>0.4</v>
      </c>
      <c r="L59" s="32">
        <f t="shared" si="59"/>
        <v>0.6</v>
      </c>
      <c r="M59" s="35">
        <f t="shared" si="4"/>
        <v>0</v>
      </c>
      <c r="N59" s="32">
        <f t="shared" si="56"/>
        <v>0</v>
      </c>
      <c r="O59" s="34">
        <f t="shared" si="21"/>
        <v>1.0401072505865265</v>
      </c>
      <c r="P59" s="36">
        <f t="shared" si="22"/>
        <v>348.4359289464864</v>
      </c>
      <c r="Q59" s="51">
        <f t="shared" si="5"/>
        <v>0.043663650243920604</v>
      </c>
      <c r="R59" s="61">
        <f t="shared" si="6"/>
        <v>335</v>
      </c>
      <c r="S59" s="28"/>
      <c r="T59" s="50">
        <f t="shared" si="7"/>
        <v>102.03667406500303</v>
      </c>
      <c r="U59" s="35">
        <f t="shared" si="8"/>
        <v>3.414810725058653</v>
      </c>
      <c r="V59" s="32">
        <f t="shared" si="9"/>
        <v>0.1</v>
      </c>
      <c r="W59" s="35">
        <f t="shared" si="10"/>
        <v>0</v>
      </c>
      <c r="X59" s="35">
        <f t="shared" si="57"/>
        <v>3.414810725058653</v>
      </c>
      <c r="Z59" s="49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8"/>
      <c r="AV59" s="2"/>
      <c r="AW59" s="2"/>
      <c r="AX59" s="2"/>
      <c r="AY59" s="2"/>
      <c r="AZ59" s="2"/>
      <c r="BA59" s="18">
        <v>-3</v>
      </c>
      <c r="BB59" s="31">
        <f t="shared" si="38"/>
        <v>743.036909706281</v>
      </c>
      <c r="BC59" s="32">
        <f t="shared" si="39"/>
        <v>2.428225195118565</v>
      </c>
      <c r="BD59" s="33">
        <f t="shared" si="40"/>
        <v>306</v>
      </c>
      <c r="BE59" s="34">
        <f t="shared" si="41"/>
        <v>5.677777777777777</v>
      </c>
      <c r="BF59" s="33">
        <f t="shared" si="42"/>
        <v>1</v>
      </c>
      <c r="BG59" s="41">
        <f t="shared" si="14"/>
        <v>5.677777777777777</v>
      </c>
      <c r="BH59" s="2"/>
      <c r="BI59" s="32">
        <f t="shared" si="15"/>
        <v>0</v>
      </c>
      <c r="BJ59" s="32">
        <f t="shared" si="16"/>
        <v>0</v>
      </c>
      <c r="BK59" s="35">
        <f t="shared" si="43"/>
        <v>0.4444444444444444</v>
      </c>
      <c r="BL59" s="35">
        <f t="shared" si="44"/>
        <v>0.5555555555555556</v>
      </c>
      <c r="BM59" s="32">
        <f t="shared" si="45"/>
        <v>0</v>
      </c>
      <c r="BN59" s="34">
        <f t="shared" si="46"/>
        <v>2.428225195118565</v>
      </c>
      <c r="BO59" s="36">
        <f t="shared" si="47"/>
        <v>743.036909706281</v>
      </c>
      <c r="BP59" s="60">
        <f t="shared" si="48"/>
        <v>0.06207492980002348</v>
      </c>
      <c r="BQ59" s="61">
        <f t="shared" si="49"/>
        <v>306</v>
      </c>
      <c r="BR59" s="27"/>
      <c r="BS59" s="50">
        <f t="shared" si="50"/>
        <v>238.83329240559036</v>
      </c>
      <c r="BT59" s="35">
        <f t="shared" si="51"/>
        <v>3.1111111111111107</v>
      </c>
      <c r="BU59" s="32">
        <f t="shared" si="52"/>
        <v>0</v>
      </c>
      <c r="BV59" s="35">
        <f t="shared" si="53"/>
        <v>0</v>
      </c>
      <c r="BW59" s="35">
        <f t="shared" si="54"/>
        <v>3.1111111111111103</v>
      </c>
      <c r="BX59" s="35"/>
      <c r="BY59" s="6"/>
    </row>
    <row r="60" spans="1:77" ht="12.75" hidden="1">
      <c r="A60" s="49"/>
      <c r="B60" s="18">
        <v>10</v>
      </c>
      <c r="C60" s="31">
        <f t="shared" si="17"/>
        <v>280.8289576583622</v>
      </c>
      <c r="D60" s="32">
        <f t="shared" si="18"/>
        <v>0.8915205005027371</v>
      </c>
      <c r="E60" s="33">
        <f t="shared" si="0"/>
        <v>315</v>
      </c>
      <c r="F60" s="34">
        <f t="shared" si="19"/>
        <v>8.128</v>
      </c>
      <c r="G60" s="33">
        <f t="shared" si="20"/>
        <v>1</v>
      </c>
      <c r="H60" s="38">
        <f t="shared" si="1"/>
        <v>8.128</v>
      </c>
      <c r="I60" s="2"/>
      <c r="J60" s="2"/>
      <c r="K60" s="32">
        <f t="shared" si="60"/>
        <v>0.6</v>
      </c>
      <c r="L60" s="32">
        <f t="shared" si="59"/>
        <v>0.4</v>
      </c>
      <c r="M60" s="35">
        <f t="shared" si="4"/>
        <v>0</v>
      </c>
      <c r="N60" s="32">
        <f t="shared" si="56"/>
        <v>0</v>
      </c>
      <c r="O60" s="34">
        <f t="shared" si="21"/>
        <v>0.8915205005027371</v>
      </c>
      <c r="P60" s="36">
        <f t="shared" si="22"/>
        <v>280.8289576583622</v>
      </c>
      <c r="Q60" s="51">
        <f t="shared" si="5"/>
        <v>0.03519159870405541</v>
      </c>
      <c r="R60" s="61">
        <f t="shared" si="6"/>
        <v>315</v>
      </c>
      <c r="S60" s="28"/>
      <c r="T60" s="50">
        <f t="shared" si="7"/>
        <v>81.25010230201448</v>
      </c>
      <c r="U60" s="35">
        <f t="shared" si="8"/>
        <v>3.456352050050273</v>
      </c>
      <c r="V60" s="32">
        <f t="shared" si="9"/>
        <v>0.1</v>
      </c>
      <c r="W60" s="35">
        <f t="shared" si="10"/>
        <v>0</v>
      </c>
      <c r="X60" s="35">
        <f t="shared" si="57"/>
        <v>3.456352050050273</v>
      </c>
      <c r="Z60" s="49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8"/>
      <c r="AV60" s="2"/>
      <c r="AW60" s="2"/>
      <c r="AX60" s="2"/>
      <c r="AY60" s="2"/>
      <c r="AZ60" s="2"/>
      <c r="BA60" s="18">
        <v>-2</v>
      </c>
      <c r="BB60" s="31">
        <f t="shared" si="38"/>
        <v>1044.3924365531009</v>
      </c>
      <c r="BC60" s="32">
        <f t="shared" si="39"/>
        <v>2.3004238690596934</v>
      </c>
      <c r="BD60" s="33">
        <f t="shared" si="40"/>
        <v>454</v>
      </c>
      <c r="BE60" s="34">
        <f t="shared" si="41"/>
        <v>5.942222222222222</v>
      </c>
      <c r="BF60" s="33">
        <f t="shared" si="42"/>
        <v>1</v>
      </c>
      <c r="BG60" s="41">
        <f t="shared" si="14"/>
        <v>5.942222222222222</v>
      </c>
      <c r="BH60" s="2"/>
      <c r="BI60" s="32">
        <f t="shared" si="15"/>
        <v>0</v>
      </c>
      <c r="BJ60" s="32">
        <f t="shared" si="16"/>
        <v>0</v>
      </c>
      <c r="BK60" s="35">
        <f t="shared" si="43"/>
        <v>0.5555555555555556</v>
      </c>
      <c r="BL60" s="35">
        <f t="shared" si="44"/>
        <v>0.4444444444444444</v>
      </c>
      <c r="BM60" s="32">
        <f t="shared" si="45"/>
        <v>0</v>
      </c>
      <c r="BN60" s="34">
        <f t="shared" si="46"/>
        <v>2.3004238690596934</v>
      </c>
      <c r="BO60" s="36">
        <f t="shared" si="47"/>
        <v>1044.3924365531009</v>
      </c>
      <c r="BP60" s="60">
        <f t="shared" si="48"/>
        <v>0.08725083012139523</v>
      </c>
      <c r="BQ60" s="61">
        <f t="shared" si="49"/>
        <v>454</v>
      </c>
      <c r="BR60" s="27"/>
      <c r="BS60" s="50">
        <f t="shared" si="50"/>
        <v>327.50982330933476</v>
      </c>
      <c r="BT60" s="35">
        <f t="shared" si="51"/>
        <v>3.188888888888889</v>
      </c>
      <c r="BU60" s="32">
        <f t="shared" si="52"/>
        <v>0</v>
      </c>
      <c r="BV60" s="35">
        <f t="shared" si="53"/>
        <v>0</v>
      </c>
      <c r="BW60" s="35">
        <f t="shared" si="54"/>
        <v>3.188888888888889</v>
      </c>
      <c r="BX60" s="35"/>
      <c r="BY60" s="6"/>
    </row>
    <row r="61" spans="1:77" ht="12.75" hidden="1">
      <c r="A61" s="2"/>
      <c r="B61" s="18">
        <v>11</v>
      </c>
      <c r="C61" s="31">
        <f t="shared" si="17"/>
        <v>159.73075634007373</v>
      </c>
      <c r="D61" s="32">
        <f t="shared" si="18"/>
        <v>0.7429337504189476</v>
      </c>
      <c r="E61" s="33">
        <f t="shared" si="0"/>
        <v>215</v>
      </c>
      <c r="F61" s="34">
        <f t="shared" si="19"/>
        <v>8.164</v>
      </c>
      <c r="G61" s="33">
        <f t="shared" si="20"/>
        <v>1</v>
      </c>
      <c r="H61" s="38">
        <f t="shared" si="1"/>
        <v>8.164</v>
      </c>
      <c r="I61" s="2"/>
      <c r="J61" s="2"/>
      <c r="K61" s="32">
        <f t="shared" si="60"/>
        <v>0.8</v>
      </c>
      <c r="L61" s="32">
        <f t="shared" si="59"/>
        <v>0.2</v>
      </c>
      <c r="M61" s="35">
        <f t="shared" si="4"/>
        <v>0</v>
      </c>
      <c r="N61" s="32">
        <f t="shared" si="56"/>
        <v>0</v>
      </c>
      <c r="O61" s="34">
        <f t="shared" si="21"/>
        <v>0.7429337504189476</v>
      </c>
      <c r="P61" s="36">
        <f t="shared" si="22"/>
        <v>159.73075634007373</v>
      </c>
      <c r="Q61" s="51">
        <f t="shared" si="5"/>
        <v>0.0200163855062749</v>
      </c>
      <c r="R61" s="61">
        <f t="shared" si="6"/>
        <v>215</v>
      </c>
      <c r="S61" s="28"/>
      <c r="T61" s="50">
        <f t="shared" si="7"/>
        <v>45.6648442973653</v>
      </c>
      <c r="U61" s="35">
        <f t="shared" si="8"/>
        <v>3.497893375041895</v>
      </c>
      <c r="V61" s="32">
        <f t="shared" si="9"/>
        <v>0.1</v>
      </c>
      <c r="W61" s="35">
        <f t="shared" si="10"/>
        <v>0</v>
      </c>
      <c r="X61" s="35">
        <f t="shared" si="57"/>
        <v>3.4978933750418952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8"/>
      <c r="AV61" s="2"/>
      <c r="AW61" s="2"/>
      <c r="AX61" s="2"/>
      <c r="AY61" s="2"/>
      <c r="AZ61" s="2"/>
      <c r="BA61" s="18">
        <v>-1</v>
      </c>
      <c r="BB61" s="31">
        <f t="shared" si="38"/>
        <v>836.4596790553163</v>
      </c>
      <c r="BC61" s="32">
        <f t="shared" si="39"/>
        <v>2.1726225430008217</v>
      </c>
      <c r="BD61" s="33">
        <f t="shared" si="40"/>
        <v>385</v>
      </c>
      <c r="BE61" s="34">
        <f t="shared" si="41"/>
        <v>6.206666666666667</v>
      </c>
      <c r="BF61" s="33">
        <f t="shared" si="42"/>
        <v>1</v>
      </c>
      <c r="BG61" s="41">
        <f t="shared" si="14"/>
        <v>6.206666666666667</v>
      </c>
      <c r="BH61" s="2"/>
      <c r="BI61" s="32">
        <f t="shared" si="15"/>
        <v>0</v>
      </c>
      <c r="BJ61" s="32">
        <f t="shared" si="16"/>
        <v>0</v>
      </c>
      <c r="BK61" s="35">
        <f t="shared" si="43"/>
        <v>0.6666666666666667</v>
      </c>
      <c r="BL61" s="35">
        <f t="shared" si="44"/>
        <v>0.3333333333333333</v>
      </c>
      <c r="BM61" s="32">
        <f t="shared" si="45"/>
        <v>0</v>
      </c>
      <c r="BN61" s="34">
        <f t="shared" si="46"/>
        <v>2.1726225430008217</v>
      </c>
      <c r="BO61" s="36">
        <f t="shared" si="47"/>
        <v>836.4596790553164</v>
      </c>
      <c r="BP61" s="60">
        <f t="shared" si="48"/>
        <v>0.06987967243569895</v>
      </c>
      <c r="BQ61" s="61">
        <f t="shared" si="49"/>
        <v>385</v>
      </c>
      <c r="BR61" s="27"/>
      <c r="BS61" s="50">
        <f t="shared" si="50"/>
        <v>256.05908542509684</v>
      </c>
      <c r="BT61" s="35">
        <f t="shared" si="51"/>
        <v>3.2666666666666666</v>
      </c>
      <c r="BU61" s="32">
        <f t="shared" si="52"/>
        <v>0</v>
      </c>
      <c r="BV61" s="35">
        <f t="shared" si="53"/>
        <v>0</v>
      </c>
      <c r="BW61" s="35">
        <f t="shared" si="54"/>
        <v>3.266666666666666</v>
      </c>
      <c r="BX61" s="35"/>
      <c r="BY61" s="6"/>
    </row>
    <row r="62" spans="1:77" ht="12.75" hidden="1">
      <c r="A62" s="2"/>
      <c r="B62" s="18">
        <v>12</v>
      </c>
      <c r="C62" s="31">
        <f t="shared" si="17"/>
        <v>100.44464305664171</v>
      </c>
      <c r="D62" s="32">
        <f t="shared" si="18"/>
        <v>0.5943470003351581</v>
      </c>
      <c r="E62" s="33">
        <f t="shared" si="0"/>
        <v>169</v>
      </c>
      <c r="F62" s="34">
        <f t="shared" si="19"/>
        <v>8.2</v>
      </c>
      <c r="G62" s="33">
        <f t="shared" si="20"/>
        <v>1</v>
      </c>
      <c r="H62" s="38">
        <f t="shared" si="1"/>
        <v>8.2</v>
      </c>
      <c r="I62" s="2"/>
      <c r="J62" s="2"/>
      <c r="K62" s="32">
        <f t="shared" si="60"/>
        <v>1</v>
      </c>
      <c r="L62" s="32">
        <f t="shared" si="59"/>
        <v>0</v>
      </c>
      <c r="M62" s="35">
        <f t="shared" si="4"/>
        <v>0</v>
      </c>
      <c r="N62" s="32">
        <f t="shared" si="56"/>
        <v>0</v>
      </c>
      <c r="O62" s="34">
        <f t="shared" si="21"/>
        <v>0.5943470003351581</v>
      </c>
      <c r="P62" s="36">
        <f t="shared" si="22"/>
        <v>100.44464305664171</v>
      </c>
      <c r="Q62" s="51">
        <f t="shared" si="5"/>
        <v>0.012587048002085427</v>
      </c>
      <c r="R62" s="61">
        <f t="shared" si="6"/>
        <v>169</v>
      </c>
      <c r="S62" s="28"/>
      <c r="T62" s="50">
        <f t="shared" si="7"/>
        <v>28.37872473129412</v>
      </c>
      <c r="U62" s="35">
        <f t="shared" si="8"/>
        <v>3.5394347000335156</v>
      </c>
      <c r="V62" s="32">
        <f t="shared" si="9"/>
        <v>0.1</v>
      </c>
      <c r="W62" s="35">
        <f t="shared" si="10"/>
        <v>0</v>
      </c>
      <c r="X62" s="35">
        <f t="shared" si="57"/>
        <v>3.5394347000335156</v>
      </c>
      <c r="Z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8"/>
      <c r="AV62" s="2"/>
      <c r="AW62" s="2"/>
      <c r="AX62" s="2"/>
      <c r="AY62" s="2"/>
      <c r="AZ62" s="2"/>
      <c r="BA62" s="18">
        <v>0</v>
      </c>
      <c r="BB62" s="31">
        <f t="shared" si="38"/>
        <v>1001.9623963015557</v>
      </c>
      <c r="BC62" s="32">
        <f t="shared" si="39"/>
        <v>2.0448212169419504</v>
      </c>
      <c r="BD62" s="33">
        <f t="shared" si="40"/>
        <v>490</v>
      </c>
      <c r="BE62" s="34">
        <f t="shared" si="41"/>
        <v>6.471111111111111</v>
      </c>
      <c r="BF62" s="33">
        <f t="shared" si="42"/>
        <v>1</v>
      </c>
      <c r="BG62" s="41">
        <f t="shared" si="14"/>
        <v>6.471111111111111</v>
      </c>
      <c r="BH62" s="2"/>
      <c r="BI62" s="32">
        <f t="shared" si="15"/>
        <v>0</v>
      </c>
      <c r="BJ62" s="32">
        <f t="shared" si="16"/>
        <v>0</v>
      </c>
      <c r="BK62" s="35">
        <f t="shared" si="43"/>
        <v>0.7777777777777778</v>
      </c>
      <c r="BL62" s="35">
        <f t="shared" si="44"/>
        <v>0.2222222222222222</v>
      </c>
      <c r="BM62" s="32">
        <f t="shared" si="45"/>
        <v>0</v>
      </c>
      <c r="BN62" s="34">
        <f t="shared" si="46"/>
        <v>2.0448212169419504</v>
      </c>
      <c r="BO62" s="36">
        <f t="shared" si="47"/>
        <v>1001.9623963015557</v>
      </c>
      <c r="BP62" s="60">
        <f t="shared" si="48"/>
        <v>0.08370613168768218</v>
      </c>
      <c r="BQ62" s="61">
        <f t="shared" si="49"/>
        <v>490</v>
      </c>
      <c r="BR62" s="27"/>
      <c r="BS62" s="50">
        <f t="shared" si="50"/>
        <v>299.5900852728904</v>
      </c>
      <c r="BT62" s="35">
        <f t="shared" si="51"/>
        <v>3.3444444444444446</v>
      </c>
      <c r="BU62" s="32">
        <f t="shared" si="52"/>
        <v>0</v>
      </c>
      <c r="BV62" s="35">
        <f t="shared" si="53"/>
        <v>0</v>
      </c>
      <c r="BW62" s="35">
        <f t="shared" si="54"/>
        <v>3.3444444444444446</v>
      </c>
      <c r="BX62" s="35"/>
      <c r="BY62" s="6"/>
    </row>
    <row r="63" spans="1:77" ht="12.75" hidden="1">
      <c r="A63" s="2"/>
      <c r="B63" s="18">
        <v>13</v>
      </c>
      <c r="C63" s="31">
        <f t="shared" si="17"/>
        <v>67.30979778795665</v>
      </c>
      <c r="D63" s="32">
        <f t="shared" si="18"/>
        <v>0.44576025025136856</v>
      </c>
      <c r="E63" s="33">
        <f t="shared" si="0"/>
        <v>151</v>
      </c>
      <c r="F63" s="34">
        <f t="shared" si="19"/>
        <v>8.235999999999997</v>
      </c>
      <c r="G63" s="33">
        <f t="shared" si="20"/>
        <v>1</v>
      </c>
      <c r="H63" s="38">
        <f t="shared" si="1"/>
        <v>8.235999999999997</v>
      </c>
      <c r="I63" s="2"/>
      <c r="J63" s="2"/>
      <c r="K63" s="32">
        <f t="shared" si="60"/>
        <v>1.2</v>
      </c>
      <c r="L63" s="32">
        <f t="shared" si="59"/>
        <v>-0.2</v>
      </c>
      <c r="M63" s="35">
        <f t="shared" si="4"/>
        <v>0</v>
      </c>
      <c r="N63" s="32">
        <f t="shared" si="56"/>
        <v>0</v>
      </c>
      <c r="O63" s="34">
        <f t="shared" si="21"/>
        <v>0.44576025025136856</v>
      </c>
      <c r="P63" s="36">
        <f t="shared" si="22"/>
        <v>67.30979778795665</v>
      </c>
      <c r="Q63" s="51">
        <f t="shared" si="5"/>
        <v>0.008434811752876773</v>
      </c>
      <c r="R63" s="61">
        <f t="shared" si="6"/>
        <v>151</v>
      </c>
      <c r="S63" s="28"/>
      <c r="T63" s="50">
        <f t="shared" si="7"/>
        <v>18.796494954887105</v>
      </c>
      <c r="U63" s="35">
        <f t="shared" si="8"/>
        <v>3.5809760250251363</v>
      </c>
      <c r="V63" s="32">
        <f t="shared" si="9"/>
        <v>0.1</v>
      </c>
      <c r="W63" s="35">
        <f t="shared" si="10"/>
        <v>0</v>
      </c>
      <c r="X63" s="35">
        <f t="shared" si="57"/>
        <v>3.5809760250251363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8"/>
      <c r="AV63" s="2"/>
      <c r="AW63" s="2"/>
      <c r="AX63" s="2"/>
      <c r="AY63" s="2"/>
      <c r="AZ63" s="2"/>
      <c r="BA63" s="18">
        <v>1</v>
      </c>
      <c r="BB63" s="31">
        <f t="shared" si="38"/>
        <v>1021.7716018406805</v>
      </c>
      <c r="BC63" s="32">
        <f t="shared" si="39"/>
        <v>1.917019890883078</v>
      </c>
      <c r="BD63" s="33">
        <f t="shared" si="40"/>
        <v>533</v>
      </c>
      <c r="BE63" s="34">
        <f t="shared" si="41"/>
        <v>6.735555555555555</v>
      </c>
      <c r="BF63" s="33">
        <f t="shared" si="42"/>
        <v>1</v>
      </c>
      <c r="BG63" s="41">
        <f t="shared" si="14"/>
        <v>6.735555555555555</v>
      </c>
      <c r="BH63" s="2"/>
      <c r="BI63" s="32">
        <f t="shared" si="15"/>
        <v>0</v>
      </c>
      <c r="BJ63" s="32">
        <f t="shared" si="16"/>
        <v>0</v>
      </c>
      <c r="BK63" s="35">
        <f t="shared" si="43"/>
        <v>0.8888888888888888</v>
      </c>
      <c r="BL63" s="35">
        <f t="shared" si="44"/>
        <v>0.1111111111111111</v>
      </c>
      <c r="BM63" s="32">
        <f t="shared" si="45"/>
        <v>0</v>
      </c>
      <c r="BN63" s="34">
        <f t="shared" si="46"/>
        <v>1.917019890883078</v>
      </c>
      <c r="BO63" s="36">
        <f t="shared" si="47"/>
        <v>1021.7716018406805</v>
      </c>
      <c r="BP63" s="60">
        <f t="shared" si="48"/>
        <v>0.08536103607691567</v>
      </c>
      <c r="BQ63" s="61">
        <f t="shared" si="49"/>
        <v>533</v>
      </c>
      <c r="BR63" s="27"/>
      <c r="BS63" s="50">
        <f t="shared" si="50"/>
        <v>298.5696239144846</v>
      </c>
      <c r="BT63" s="35">
        <f t="shared" si="51"/>
        <v>3.4222222222222216</v>
      </c>
      <c r="BU63" s="32">
        <f t="shared" si="52"/>
        <v>0</v>
      </c>
      <c r="BV63" s="35">
        <f t="shared" si="53"/>
        <v>0</v>
      </c>
      <c r="BW63" s="35">
        <f t="shared" si="54"/>
        <v>3.4222222222222216</v>
      </c>
      <c r="BX63" s="35"/>
      <c r="BY63" s="6"/>
    </row>
    <row r="64" spans="1:77" ht="12.75" hidden="1">
      <c r="A64" s="2"/>
      <c r="B64" s="18">
        <v>14</v>
      </c>
      <c r="C64" s="31">
        <f t="shared" si="17"/>
        <v>31.203217517595792</v>
      </c>
      <c r="D64" s="32">
        <f t="shared" si="18"/>
        <v>0.297173500167579</v>
      </c>
      <c r="E64" s="33">
        <f t="shared" si="0"/>
        <v>105</v>
      </c>
      <c r="F64" s="34">
        <f t="shared" si="19"/>
        <v>8.271999999999998</v>
      </c>
      <c r="G64" s="33">
        <f t="shared" si="20"/>
        <v>1</v>
      </c>
      <c r="H64" s="38">
        <f t="shared" si="1"/>
        <v>8.271999999999998</v>
      </c>
      <c r="I64" s="2"/>
      <c r="J64" s="2"/>
      <c r="K64" s="32">
        <f t="shared" si="60"/>
        <v>1.4</v>
      </c>
      <c r="L64" s="32">
        <f t="shared" si="59"/>
        <v>-0.4</v>
      </c>
      <c r="M64" s="35">
        <f t="shared" si="4"/>
        <v>0</v>
      </c>
      <c r="N64" s="32">
        <f t="shared" si="56"/>
        <v>0</v>
      </c>
      <c r="O64" s="34">
        <f t="shared" si="21"/>
        <v>0.297173500167579</v>
      </c>
      <c r="P64" s="36">
        <f t="shared" si="22"/>
        <v>31.203217517595796</v>
      </c>
      <c r="Q64" s="51">
        <f t="shared" si="5"/>
        <v>0.003910177633783934</v>
      </c>
      <c r="R64" s="61">
        <f t="shared" si="6"/>
        <v>105</v>
      </c>
      <c r="S64" s="28"/>
      <c r="T64" s="50">
        <f t="shared" si="7"/>
        <v>8.613683387175895</v>
      </c>
      <c r="U64" s="35">
        <f t="shared" si="8"/>
        <v>3.622517350016758</v>
      </c>
      <c r="V64" s="32">
        <f t="shared" si="9"/>
        <v>0.1</v>
      </c>
      <c r="W64" s="35">
        <f t="shared" si="10"/>
        <v>0</v>
      </c>
      <c r="X64" s="35">
        <f t="shared" si="57"/>
        <v>3.6225173500167576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8"/>
      <c r="AV64" s="2"/>
      <c r="AW64" s="2"/>
      <c r="AX64" s="2"/>
      <c r="AY64" s="2"/>
      <c r="AZ64" s="2"/>
      <c r="BA64" s="18">
        <v>2</v>
      </c>
      <c r="BB64" s="31">
        <f t="shared" si="38"/>
        <v>679.9030546331984</v>
      </c>
      <c r="BC64" s="32">
        <f t="shared" si="39"/>
        <v>1.7892185648242063</v>
      </c>
      <c r="BD64" s="33">
        <f t="shared" si="40"/>
        <v>380</v>
      </c>
      <c r="BE64" s="34">
        <f t="shared" si="41"/>
        <v>7</v>
      </c>
      <c r="BF64" s="33">
        <f t="shared" si="42"/>
        <v>1</v>
      </c>
      <c r="BG64" s="41">
        <f t="shared" si="14"/>
        <v>7</v>
      </c>
      <c r="BH64" s="2"/>
      <c r="BI64" s="32">
        <f t="shared" si="15"/>
        <v>0</v>
      </c>
      <c r="BJ64" s="32">
        <f t="shared" si="16"/>
        <v>0</v>
      </c>
      <c r="BK64" s="35">
        <f t="shared" si="43"/>
        <v>1</v>
      </c>
      <c r="BL64" s="35">
        <f t="shared" si="44"/>
        <v>0</v>
      </c>
      <c r="BM64" s="32">
        <f t="shared" si="45"/>
        <v>0</v>
      </c>
      <c r="BN64" s="34">
        <f t="shared" si="46"/>
        <v>1.7892185648242063</v>
      </c>
      <c r="BO64" s="36">
        <f t="shared" si="47"/>
        <v>679.9030546331984</v>
      </c>
      <c r="BP64" s="60">
        <f t="shared" si="48"/>
        <v>0.05680058935949861</v>
      </c>
      <c r="BQ64" s="61">
        <f t="shared" si="49"/>
        <v>380</v>
      </c>
      <c r="BR64" s="27"/>
      <c r="BS64" s="50">
        <f t="shared" si="50"/>
        <v>194.25801560948526</v>
      </c>
      <c r="BT64" s="35">
        <f t="shared" si="51"/>
        <v>3.5</v>
      </c>
      <c r="BU64" s="32">
        <f t="shared" si="52"/>
        <v>0</v>
      </c>
      <c r="BV64" s="35">
        <f t="shared" si="53"/>
        <v>0</v>
      </c>
      <c r="BW64" s="35">
        <f t="shared" si="54"/>
        <v>3.4999999999999996</v>
      </c>
      <c r="BX64" s="35"/>
      <c r="BY64" s="6"/>
    </row>
    <row r="65" spans="1:77" ht="12.75" hidden="1">
      <c r="A65" s="2"/>
      <c r="B65" s="18">
        <v>15</v>
      </c>
      <c r="C65" s="31">
        <f t="shared" si="17"/>
        <v>10.995419506200424</v>
      </c>
      <c r="D65" s="32">
        <f t="shared" si="18"/>
        <v>0.14858675008378952</v>
      </c>
      <c r="E65" s="33">
        <f t="shared" si="0"/>
        <v>74</v>
      </c>
      <c r="F65" s="34">
        <f t="shared" si="19"/>
        <v>8.308</v>
      </c>
      <c r="G65" s="33">
        <f t="shared" si="20"/>
        <v>1</v>
      </c>
      <c r="H65" s="38">
        <f t="shared" si="1"/>
        <v>8.308</v>
      </c>
      <c r="I65" s="2"/>
      <c r="J65" s="2"/>
      <c r="K65" s="32">
        <f t="shared" si="60"/>
        <v>1.6</v>
      </c>
      <c r="L65" s="32">
        <f t="shared" si="59"/>
        <v>-0.6</v>
      </c>
      <c r="M65" s="35">
        <f t="shared" si="4"/>
        <v>0</v>
      </c>
      <c r="N65" s="32">
        <f t="shared" si="56"/>
        <v>0</v>
      </c>
      <c r="O65" s="34">
        <f t="shared" si="21"/>
        <v>0.14858675008378952</v>
      </c>
      <c r="P65" s="36">
        <f t="shared" si="22"/>
        <v>10.995419506200424</v>
      </c>
      <c r="Q65" s="51">
        <f t="shared" si="5"/>
        <v>0.0013778721185714817</v>
      </c>
      <c r="R65" s="61">
        <f t="shared" si="6"/>
        <v>74</v>
      </c>
      <c r="S65" s="28"/>
      <c r="T65" s="50">
        <f t="shared" si="7"/>
        <v>3.0008852154026378</v>
      </c>
      <c r="U65" s="35">
        <f t="shared" si="8"/>
        <v>3.6640586750083792</v>
      </c>
      <c r="V65" s="35">
        <f t="shared" si="9"/>
        <v>0.1</v>
      </c>
      <c r="W65" s="35">
        <f t="shared" si="10"/>
        <v>0</v>
      </c>
      <c r="X65" s="35">
        <f t="shared" si="57"/>
        <v>3.6640586750083792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8"/>
      <c r="AV65" s="2"/>
      <c r="AW65" s="2"/>
      <c r="AX65" s="2"/>
      <c r="AY65" s="2"/>
      <c r="AZ65" s="2"/>
      <c r="BA65" s="18">
        <v>3</v>
      </c>
      <c r="BB65" s="31">
        <f t="shared" si="38"/>
        <v>378.8031304384962</v>
      </c>
      <c r="BC65" s="32">
        <f t="shared" si="39"/>
        <v>1.6614172387653343</v>
      </c>
      <c r="BD65" s="33">
        <f t="shared" si="40"/>
        <v>228</v>
      </c>
      <c r="BE65" s="34">
        <f t="shared" si="41"/>
        <v>7.204000000000001</v>
      </c>
      <c r="BF65" s="33">
        <f t="shared" si="42"/>
        <v>1</v>
      </c>
      <c r="BG65" s="41">
        <f t="shared" si="14"/>
        <v>7.204000000000001</v>
      </c>
      <c r="BH65" s="2"/>
      <c r="BI65" s="32">
        <f t="shared" si="15"/>
        <v>0</v>
      </c>
      <c r="BJ65" s="32">
        <f t="shared" si="16"/>
        <v>0.19999999999999996</v>
      </c>
      <c r="BK65" s="35">
        <f t="shared" si="43"/>
        <v>0.8</v>
      </c>
      <c r="BL65" s="35">
        <f t="shared" si="44"/>
        <v>0</v>
      </c>
      <c r="BM65" s="32">
        <f t="shared" si="45"/>
        <v>0</v>
      </c>
      <c r="BN65" s="34">
        <f t="shared" si="46"/>
        <v>1.6614172387653343</v>
      </c>
      <c r="BO65" s="36">
        <f t="shared" si="47"/>
        <v>378.8031304384962</v>
      </c>
      <c r="BP65" s="60">
        <f t="shared" si="48"/>
        <v>0.03164604264314923</v>
      </c>
      <c r="BQ65" s="61">
        <f t="shared" si="49"/>
        <v>228</v>
      </c>
      <c r="BR65" s="27"/>
      <c r="BS65" s="50">
        <f t="shared" si="50"/>
        <v>124.37138955970514</v>
      </c>
      <c r="BT65" s="35">
        <f t="shared" si="51"/>
        <v>3.0457417238765334</v>
      </c>
      <c r="BU65" s="32">
        <f t="shared" si="52"/>
        <v>0.1</v>
      </c>
      <c r="BV65" s="35">
        <f t="shared" si="53"/>
        <v>0</v>
      </c>
      <c r="BW65" s="35">
        <f t="shared" si="54"/>
        <v>3.0457417238765334</v>
      </c>
      <c r="BX65" s="35"/>
      <c r="BY65" s="6"/>
    </row>
    <row r="66" spans="1:77" ht="12.75" hidden="1">
      <c r="A66" s="2"/>
      <c r="B66" s="18">
        <v>16</v>
      </c>
      <c r="C66" s="42"/>
      <c r="D66" s="43"/>
      <c r="E66" s="44"/>
      <c r="F66" s="45"/>
      <c r="G66" s="44"/>
      <c r="H66" s="38"/>
      <c r="I66" s="2"/>
      <c r="J66" s="2"/>
      <c r="K66" s="32"/>
      <c r="L66" s="32"/>
      <c r="M66" s="35"/>
      <c r="N66" s="32"/>
      <c r="O66" s="34"/>
      <c r="P66" s="46"/>
      <c r="Q66" s="51"/>
      <c r="R66" s="28"/>
      <c r="S66" s="28"/>
      <c r="T66" s="47">
        <f t="shared" si="7"/>
        <v>0</v>
      </c>
      <c r="U66" s="43">
        <f t="shared" si="8"/>
        <v>0</v>
      </c>
      <c r="V66" s="43">
        <f t="shared" si="9"/>
        <v>0</v>
      </c>
      <c r="W66" s="43">
        <f t="shared" si="10"/>
        <v>0</v>
      </c>
      <c r="X66" s="43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8"/>
      <c r="AV66" s="2"/>
      <c r="AW66" s="2"/>
      <c r="AX66" s="2"/>
      <c r="AY66" s="2"/>
      <c r="AZ66" s="2"/>
      <c r="BA66" s="18">
        <v>4</v>
      </c>
      <c r="BB66" s="31">
        <f t="shared" si="38"/>
        <v>400.27375321638675</v>
      </c>
      <c r="BC66" s="32">
        <f t="shared" si="39"/>
        <v>1.5336159127064626</v>
      </c>
      <c r="BD66" s="33">
        <f t="shared" si="40"/>
        <v>261</v>
      </c>
      <c r="BE66" s="34">
        <f t="shared" si="41"/>
        <v>7.408</v>
      </c>
      <c r="BF66" s="33">
        <f t="shared" si="42"/>
        <v>1</v>
      </c>
      <c r="BG66" s="41">
        <f t="shared" si="14"/>
        <v>7.408</v>
      </c>
      <c r="BH66" s="2"/>
      <c r="BI66" s="32">
        <f t="shared" si="15"/>
        <v>0</v>
      </c>
      <c r="BJ66" s="32">
        <f t="shared" si="16"/>
        <v>0.4</v>
      </c>
      <c r="BK66" s="35">
        <f t="shared" si="43"/>
        <v>0.6</v>
      </c>
      <c r="BL66" s="35">
        <f t="shared" si="44"/>
        <v>0</v>
      </c>
      <c r="BM66" s="32">
        <f t="shared" si="45"/>
        <v>0</v>
      </c>
      <c r="BN66" s="34">
        <f t="shared" si="46"/>
        <v>1.5336159127064626</v>
      </c>
      <c r="BO66" s="36">
        <f t="shared" si="47"/>
        <v>400.27375321638675</v>
      </c>
      <c r="BP66" s="60">
        <f t="shared" si="48"/>
        <v>0.033439745465028134</v>
      </c>
      <c r="BQ66" s="61">
        <f t="shared" si="49"/>
        <v>261</v>
      </c>
      <c r="BR66" s="27"/>
      <c r="BS66" s="50">
        <f t="shared" si="50"/>
        <v>128.5994642930045</v>
      </c>
      <c r="BT66" s="35">
        <f t="shared" si="51"/>
        <v>3.112561591270646</v>
      </c>
      <c r="BU66" s="32">
        <f t="shared" si="52"/>
        <v>0.1</v>
      </c>
      <c r="BV66" s="35">
        <f t="shared" si="53"/>
        <v>0</v>
      </c>
      <c r="BW66" s="35">
        <f t="shared" si="54"/>
        <v>3.1125615912706466</v>
      </c>
      <c r="BX66" s="35"/>
      <c r="BY66" s="6"/>
    </row>
    <row r="67" spans="1:77" ht="12.75" hidden="1">
      <c r="A67" s="2"/>
      <c r="B67" s="28"/>
      <c r="C67" s="31">
        <f>SUM(LhpA_tp)</f>
        <v>7976.136744497819</v>
      </c>
      <c r="D67" s="28"/>
      <c r="E67" s="48">
        <f>SUM(E40:E66)</f>
        <v>4909</v>
      </c>
      <c r="F67" s="28"/>
      <c r="G67" s="28"/>
      <c r="H67" s="32"/>
      <c r="I67" s="2"/>
      <c r="J67" s="2"/>
      <c r="K67" s="2"/>
      <c r="L67" s="2"/>
      <c r="M67" s="2"/>
      <c r="N67" s="2"/>
      <c r="O67" s="28"/>
      <c r="P67" s="31">
        <f>SUM(P39:P66)</f>
        <v>7979.999999999998</v>
      </c>
      <c r="Q67" s="28">
        <f>SUM(fracA_tp)</f>
        <v>1</v>
      </c>
      <c r="R67" s="28"/>
      <c r="S67" s="28"/>
      <c r="T67" s="31">
        <f>SUM(QhpA_tp)</f>
        <v>2422.057566994133</v>
      </c>
      <c r="U67" s="55">
        <f>IF(T67&gt;0,C67/T67,"na")</f>
        <v>3.2931243473277605</v>
      </c>
      <c r="V67" s="55"/>
      <c r="W67" s="31">
        <f>SUM(resA_tp)</f>
        <v>3.8632555021785278</v>
      </c>
      <c r="X67" s="55">
        <f>P67/(T67+W67)</f>
        <v>3.2894725689309388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8"/>
      <c r="AV67" s="2"/>
      <c r="AW67" s="2"/>
      <c r="AX67" s="2"/>
      <c r="AY67" s="2"/>
      <c r="AZ67" s="2"/>
      <c r="BA67" s="18">
        <v>5</v>
      </c>
      <c r="BB67" s="31">
        <f t="shared" si="38"/>
        <v>392.22226967467776</v>
      </c>
      <c r="BC67" s="32">
        <f t="shared" si="39"/>
        <v>1.4058145866475906</v>
      </c>
      <c r="BD67" s="33">
        <f t="shared" si="40"/>
        <v>279</v>
      </c>
      <c r="BE67" s="34">
        <f t="shared" si="41"/>
        <v>7.612</v>
      </c>
      <c r="BF67" s="33">
        <f t="shared" si="42"/>
        <v>1</v>
      </c>
      <c r="BG67" s="41">
        <f t="shared" si="14"/>
        <v>7.612</v>
      </c>
      <c r="BH67" s="2"/>
      <c r="BI67" s="32">
        <f t="shared" si="15"/>
        <v>0</v>
      </c>
      <c r="BJ67" s="32">
        <f t="shared" si="16"/>
        <v>0.6</v>
      </c>
      <c r="BK67" s="35">
        <f t="shared" si="43"/>
        <v>0.4</v>
      </c>
      <c r="BL67" s="35">
        <f t="shared" si="44"/>
        <v>0</v>
      </c>
      <c r="BM67" s="32">
        <f t="shared" si="45"/>
        <v>0</v>
      </c>
      <c r="BN67" s="34">
        <f t="shared" si="46"/>
        <v>1.4058145866475906</v>
      </c>
      <c r="BO67" s="36">
        <f t="shared" si="47"/>
        <v>392.22226967467776</v>
      </c>
      <c r="BP67" s="60">
        <f t="shared" si="48"/>
        <v>0.03276710690682354</v>
      </c>
      <c r="BQ67" s="61">
        <f t="shared" si="49"/>
        <v>279</v>
      </c>
      <c r="BR67" s="27"/>
      <c r="BS67" s="50">
        <f t="shared" si="50"/>
        <v>123.36433195386341</v>
      </c>
      <c r="BT67" s="35">
        <f t="shared" si="51"/>
        <v>3.179381458664759</v>
      </c>
      <c r="BU67" s="32">
        <f t="shared" si="52"/>
        <v>0.1</v>
      </c>
      <c r="BV67" s="35">
        <f t="shared" si="53"/>
        <v>0</v>
      </c>
      <c r="BW67" s="35">
        <f t="shared" si="54"/>
        <v>3.1793814586647584</v>
      </c>
      <c r="BX67" s="35"/>
      <c r="BY67" s="6"/>
    </row>
    <row r="68" spans="1:77" ht="13.5" hidden="1" thickBot="1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18">
        <v>6</v>
      </c>
      <c r="BB68" s="31">
        <f t="shared" si="38"/>
        <v>292.6650366748166</v>
      </c>
      <c r="BC68" s="32">
        <f t="shared" si="39"/>
        <v>1.2780132605887187</v>
      </c>
      <c r="BD68" s="33">
        <f t="shared" si="40"/>
        <v>229</v>
      </c>
      <c r="BE68" s="34">
        <f t="shared" si="41"/>
        <v>7.816000000000001</v>
      </c>
      <c r="BF68" s="33">
        <f t="shared" si="42"/>
        <v>1</v>
      </c>
      <c r="BG68" s="41">
        <f t="shared" si="14"/>
        <v>7.816000000000001</v>
      </c>
      <c r="BH68" s="2"/>
      <c r="BI68" s="32">
        <f t="shared" si="15"/>
        <v>0</v>
      </c>
      <c r="BJ68" s="32">
        <f t="shared" si="16"/>
        <v>0.8</v>
      </c>
      <c r="BK68" s="35">
        <f t="shared" si="43"/>
        <v>0.2</v>
      </c>
      <c r="BL68" s="35">
        <f t="shared" si="44"/>
        <v>0</v>
      </c>
      <c r="BM68" s="32">
        <f t="shared" si="45"/>
        <v>0</v>
      </c>
      <c r="BN68" s="34">
        <f t="shared" si="46"/>
        <v>1.2780132605887187</v>
      </c>
      <c r="BO68" s="36">
        <f t="shared" si="47"/>
        <v>292.6650366748166</v>
      </c>
      <c r="BP68" s="60">
        <f t="shared" si="48"/>
        <v>0.024449877750611245</v>
      </c>
      <c r="BQ68" s="61">
        <f t="shared" si="49"/>
        <v>229</v>
      </c>
      <c r="BR68" s="27"/>
      <c r="BS68" s="50">
        <f t="shared" si="50"/>
        <v>90.15615708287986</v>
      </c>
      <c r="BT68" s="35">
        <f t="shared" si="51"/>
        <v>3.246201326058872</v>
      </c>
      <c r="BU68" s="32">
        <f t="shared" si="52"/>
        <v>0.1</v>
      </c>
      <c r="BV68" s="35">
        <f t="shared" si="53"/>
        <v>0</v>
      </c>
      <c r="BW68" s="35">
        <f t="shared" si="54"/>
        <v>3.246201326058872</v>
      </c>
      <c r="BX68" s="35"/>
      <c r="BY68" s="6"/>
    </row>
    <row r="69" spans="1:77" ht="12.75" hidden="1">
      <c r="A69" s="65"/>
      <c r="B69" s="93" t="s">
        <v>44</v>
      </c>
      <c r="C69" s="67"/>
      <c r="D69" s="66"/>
      <c r="E69" s="68"/>
      <c r="F69" s="66"/>
      <c r="G69" s="66"/>
      <c r="H69" s="66"/>
      <c r="I69" s="66"/>
      <c r="J69" s="66"/>
      <c r="K69" s="69"/>
      <c r="L69" s="1" t="s">
        <v>26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18">
        <v>7</v>
      </c>
      <c r="BB69" s="31">
        <f t="shared" si="38"/>
        <v>309.4070103885288</v>
      </c>
      <c r="BC69" s="32">
        <f t="shared" si="39"/>
        <v>1.150211934529847</v>
      </c>
      <c r="BD69" s="33">
        <f t="shared" si="40"/>
        <v>269</v>
      </c>
      <c r="BE69" s="34">
        <f t="shared" si="41"/>
        <v>8.02</v>
      </c>
      <c r="BF69" s="33">
        <f t="shared" si="42"/>
        <v>1</v>
      </c>
      <c r="BG69" s="38">
        <f t="shared" si="14"/>
        <v>8.02</v>
      </c>
      <c r="BH69" s="2"/>
      <c r="BI69" s="32">
        <f t="shared" si="15"/>
        <v>0</v>
      </c>
      <c r="BJ69" s="32">
        <f t="shared" si="16"/>
        <v>1</v>
      </c>
      <c r="BK69" s="35">
        <f t="shared" si="43"/>
        <v>0</v>
      </c>
      <c r="BL69" s="35">
        <f t="shared" si="44"/>
        <v>0</v>
      </c>
      <c r="BM69" s="32">
        <f t="shared" si="45"/>
        <v>0</v>
      </c>
      <c r="BN69" s="34">
        <f t="shared" si="46"/>
        <v>1.150211934529847</v>
      </c>
      <c r="BO69" s="36">
        <f t="shared" si="47"/>
        <v>309.4070103885288</v>
      </c>
      <c r="BP69" s="60">
        <f t="shared" si="48"/>
        <v>0.025848538879576343</v>
      </c>
      <c r="BQ69" s="61">
        <f t="shared" si="49"/>
        <v>269</v>
      </c>
      <c r="BR69" s="27"/>
      <c r="BS69" s="50">
        <f t="shared" si="50"/>
        <v>93.39119562529886</v>
      </c>
      <c r="BT69" s="35">
        <f t="shared" si="51"/>
        <v>3.3130211934529847</v>
      </c>
      <c r="BU69" s="32">
        <f t="shared" si="52"/>
        <v>0.1</v>
      </c>
      <c r="BV69" s="35">
        <f t="shared" si="53"/>
        <v>0</v>
      </c>
      <c r="BW69" s="35">
        <f t="shared" si="54"/>
        <v>3.3130211934529847</v>
      </c>
      <c r="BX69" s="35"/>
      <c r="BY69" s="6"/>
    </row>
    <row r="70" spans="1:77" ht="12.75" hidden="1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2"/>
      <c r="L70" s="2"/>
      <c r="M70" s="2"/>
      <c r="N70" s="170" t="s">
        <v>75</v>
      </c>
      <c r="O70" s="171"/>
      <c r="P70" s="171"/>
      <c r="Q70" s="171"/>
      <c r="R70" s="171"/>
      <c r="S70" s="171"/>
      <c r="T70" s="171"/>
      <c r="U70" s="171"/>
      <c r="V70" s="171"/>
      <c r="W70" s="17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18">
        <v>8</v>
      </c>
      <c r="BB70" s="31">
        <f t="shared" si="38"/>
        <v>238.22167177373717</v>
      </c>
      <c r="BC70" s="32">
        <f t="shared" si="39"/>
        <v>1.022410608470975</v>
      </c>
      <c r="BD70" s="33">
        <f t="shared" si="40"/>
        <v>233</v>
      </c>
      <c r="BE70" s="34">
        <f t="shared" si="41"/>
        <v>8.056</v>
      </c>
      <c r="BF70" s="33">
        <f t="shared" si="42"/>
        <v>1</v>
      </c>
      <c r="BG70" s="38">
        <f t="shared" si="14"/>
        <v>8.056</v>
      </c>
      <c r="BH70" s="2"/>
      <c r="BI70" s="32">
        <f t="shared" si="15"/>
        <v>0.19999999999999996</v>
      </c>
      <c r="BJ70" s="32">
        <f t="shared" si="16"/>
        <v>0.8</v>
      </c>
      <c r="BK70" s="35">
        <f t="shared" si="43"/>
        <v>0</v>
      </c>
      <c r="BL70" s="35">
        <f t="shared" si="44"/>
        <v>0</v>
      </c>
      <c r="BM70" s="32">
        <f t="shared" si="45"/>
        <v>0</v>
      </c>
      <c r="BN70" s="34">
        <f t="shared" si="46"/>
        <v>1.022410608470975</v>
      </c>
      <c r="BO70" s="36">
        <f t="shared" si="47"/>
        <v>238.22167177373717</v>
      </c>
      <c r="BP70" s="60">
        <f t="shared" si="48"/>
        <v>0.01990155988084688</v>
      </c>
      <c r="BQ70" s="61">
        <f t="shared" si="49"/>
        <v>233</v>
      </c>
      <c r="BR70" s="27"/>
      <c r="BS70" s="50">
        <f t="shared" si="50"/>
        <v>70.97025492312201</v>
      </c>
      <c r="BT70" s="35">
        <f t="shared" si="51"/>
        <v>3.356641060847097</v>
      </c>
      <c r="BU70" s="32">
        <f t="shared" si="52"/>
        <v>0.1</v>
      </c>
      <c r="BV70" s="35">
        <f t="shared" si="53"/>
        <v>0</v>
      </c>
      <c r="BW70" s="35">
        <f t="shared" si="54"/>
        <v>3.3566410608470965</v>
      </c>
      <c r="BX70" s="35"/>
      <c r="BY70" s="6"/>
    </row>
    <row r="71" spans="1:77" ht="15.75" hidden="1">
      <c r="A71" s="70"/>
      <c r="B71" s="73" t="s">
        <v>29</v>
      </c>
      <c r="C71" s="73" t="s">
        <v>5</v>
      </c>
      <c r="D71" s="73" t="s">
        <v>30</v>
      </c>
      <c r="E71" s="73"/>
      <c r="F71" s="73"/>
      <c r="G71" s="73"/>
      <c r="H71" s="73" t="s">
        <v>45</v>
      </c>
      <c r="I71" s="73"/>
      <c r="J71" s="73"/>
      <c r="K71" s="72"/>
      <c r="L71" s="2"/>
      <c r="M71" s="2"/>
      <c r="N71" s="99">
        <v>1</v>
      </c>
      <c r="O71" s="100">
        <v>2</v>
      </c>
      <c r="P71" s="100">
        <v>3</v>
      </c>
      <c r="Q71" s="100">
        <v>4</v>
      </c>
      <c r="R71" s="100">
        <v>5</v>
      </c>
      <c r="S71" s="100">
        <v>6</v>
      </c>
      <c r="T71" s="100">
        <v>7</v>
      </c>
      <c r="U71" s="100">
        <v>8</v>
      </c>
      <c r="V71" s="100">
        <v>9</v>
      </c>
      <c r="W71" s="10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18">
        <v>9</v>
      </c>
      <c r="BB71" s="31">
        <f t="shared" si="38"/>
        <v>205.76013495478375</v>
      </c>
      <c r="BC71" s="32">
        <f t="shared" si="39"/>
        <v>0.8946092824121032</v>
      </c>
      <c r="BD71" s="33">
        <f t="shared" si="40"/>
        <v>230</v>
      </c>
      <c r="BE71" s="34">
        <f t="shared" si="41"/>
        <v>8.091999999999999</v>
      </c>
      <c r="BF71" s="33">
        <f t="shared" si="42"/>
        <v>1</v>
      </c>
      <c r="BG71" s="38">
        <f t="shared" si="14"/>
        <v>8.091999999999999</v>
      </c>
      <c r="BH71" s="2"/>
      <c r="BI71" s="32">
        <f t="shared" si="15"/>
        <v>0.4</v>
      </c>
      <c r="BJ71" s="32">
        <f t="shared" si="16"/>
        <v>0.6</v>
      </c>
      <c r="BK71" s="35">
        <f t="shared" si="43"/>
        <v>0</v>
      </c>
      <c r="BL71" s="35">
        <f t="shared" si="44"/>
        <v>0</v>
      </c>
      <c r="BM71" s="32">
        <f t="shared" si="45"/>
        <v>0</v>
      </c>
      <c r="BN71" s="34">
        <f t="shared" si="46"/>
        <v>0.8946092824121032</v>
      </c>
      <c r="BO71" s="36">
        <f t="shared" si="47"/>
        <v>205.76013495478375</v>
      </c>
      <c r="BP71" s="60">
        <f t="shared" si="48"/>
        <v>0.01718965204300616</v>
      </c>
      <c r="BQ71" s="61">
        <f t="shared" si="49"/>
        <v>230</v>
      </c>
      <c r="BR71" s="27"/>
      <c r="BS71" s="50">
        <f t="shared" si="50"/>
        <v>60.513042762636886</v>
      </c>
      <c r="BT71" s="35">
        <f t="shared" si="51"/>
        <v>3.4002609282412104</v>
      </c>
      <c r="BU71" s="32">
        <f t="shared" si="52"/>
        <v>0.1</v>
      </c>
      <c r="BV71" s="35">
        <f t="shared" si="53"/>
        <v>0</v>
      </c>
      <c r="BW71" s="35">
        <f t="shared" si="54"/>
        <v>3.4002609282412104</v>
      </c>
      <c r="BX71" s="35"/>
      <c r="BY71" s="6"/>
    </row>
    <row r="72" spans="1:77" ht="15.75" hidden="1">
      <c r="A72" s="70"/>
      <c r="B72" s="74"/>
      <c r="C72" s="74"/>
      <c r="D72" s="74"/>
      <c r="E72" s="74"/>
      <c r="F72" s="74"/>
      <c r="G72" s="74"/>
      <c r="H72" s="74"/>
      <c r="I72" s="74"/>
      <c r="J72" s="74"/>
      <c r="K72" s="72"/>
      <c r="L72" s="2"/>
      <c r="M72" s="2"/>
      <c r="N72" s="102" t="s">
        <v>83</v>
      </c>
      <c r="O72" s="102" t="s">
        <v>84</v>
      </c>
      <c r="P72" s="102" t="s">
        <v>85</v>
      </c>
      <c r="Q72" s="102" t="s">
        <v>86</v>
      </c>
      <c r="R72" s="102" t="s">
        <v>87</v>
      </c>
      <c r="S72" s="102" t="s">
        <v>88</v>
      </c>
      <c r="T72" s="102" t="s">
        <v>89</v>
      </c>
      <c r="U72" s="102" t="s">
        <v>90</v>
      </c>
      <c r="V72" s="102" t="s">
        <v>91</v>
      </c>
      <c r="W72" s="10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18">
        <v>10</v>
      </c>
      <c r="BB72" s="31">
        <f t="shared" si="38"/>
        <v>186.3343333938352</v>
      </c>
      <c r="BC72" s="32">
        <f t="shared" si="39"/>
        <v>0.7668079563532313</v>
      </c>
      <c r="BD72" s="33">
        <f t="shared" si="40"/>
        <v>243</v>
      </c>
      <c r="BE72" s="34">
        <f t="shared" si="41"/>
        <v>8.128</v>
      </c>
      <c r="BF72" s="33">
        <f t="shared" si="42"/>
        <v>1</v>
      </c>
      <c r="BG72" s="38">
        <f t="shared" si="14"/>
        <v>8.128</v>
      </c>
      <c r="BH72" s="2"/>
      <c r="BI72" s="32">
        <f t="shared" si="15"/>
        <v>0.6</v>
      </c>
      <c r="BJ72" s="32">
        <f t="shared" si="16"/>
        <v>0.4</v>
      </c>
      <c r="BK72" s="35">
        <f t="shared" si="43"/>
        <v>0</v>
      </c>
      <c r="BL72" s="35">
        <f t="shared" si="44"/>
        <v>0</v>
      </c>
      <c r="BM72" s="32">
        <f t="shared" si="45"/>
        <v>0</v>
      </c>
      <c r="BN72" s="34">
        <f t="shared" si="46"/>
        <v>0.7668079563532313</v>
      </c>
      <c r="BO72" s="36">
        <f t="shared" si="47"/>
        <v>186.3343333938352</v>
      </c>
      <c r="BP72" s="60">
        <f t="shared" si="48"/>
        <v>0.0155667780613062</v>
      </c>
      <c r="BQ72" s="61">
        <f t="shared" si="49"/>
        <v>243</v>
      </c>
      <c r="BR72" s="27"/>
      <c r="BS72" s="50">
        <f t="shared" si="50"/>
        <v>54.10591842493215</v>
      </c>
      <c r="BT72" s="35">
        <f t="shared" si="51"/>
        <v>3.443880795635323</v>
      </c>
      <c r="BU72" s="32">
        <f t="shared" si="52"/>
        <v>0.1</v>
      </c>
      <c r="BV72" s="35">
        <f t="shared" si="53"/>
        <v>0</v>
      </c>
      <c r="BW72" s="35">
        <f t="shared" si="54"/>
        <v>3.443880795635323</v>
      </c>
      <c r="BX72" s="35"/>
      <c r="BY72" s="6"/>
    </row>
    <row r="73" spans="1:77" ht="12.75" hidden="1">
      <c r="A73" s="75"/>
      <c r="B73" s="76">
        <v>9</v>
      </c>
      <c r="C73" s="76">
        <v>-22</v>
      </c>
      <c r="D73" s="77"/>
      <c r="E73" s="77"/>
      <c r="F73" s="78">
        <v>1</v>
      </c>
      <c r="G73" s="79" t="s">
        <v>26</v>
      </c>
      <c r="H73" s="80"/>
      <c r="I73" s="80"/>
      <c r="J73" s="81">
        <v>0.00040571849542499005</v>
      </c>
      <c r="K73" s="72"/>
      <c r="L73" s="2"/>
      <c r="M73" s="2"/>
      <c r="N73" s="103">
        <v>0.75</v>
      </c>
      <c r="O73" s="103">
        <v>1.1</v>
      </c>
      <c r="P73" s="103">
        <v>1.7</v>
      </c>
      <c r="Q73" s="103">
        <v>2.5</v>
      </c>
      <c r="R73" s="103">
        <v>3.8</v>
      </c>
      <c r="S73" s="103">
        <v>5.7</v>
      </c>
      <c r="T73" s="103">
        <v>8.5</v>
      </c>
      <c r="U73" s="103">
        <v>12.8</v>
      </c>
      <c r="V73" s="103">
        <v>19.2</v>
      </c>
      <c r="W73" s="10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18">
        <v>11</v>
      </c>
      <c r="BB73" s="31">
        <f t="shared" si="38"/>
        <v>122.05026638622263</v>
      </c>
      <c r="BC73" s="32">
        <f t="shared" si="39"/>
        <v>0.6390066302943593</v>
      </c>
      <c r="BD73" s="33">
        <f t="shared" si="40"/>
        <v>191</v>
      </c>
      <c r="BE73" s="34">
        <f t="shared" si="41"/>
        <v>8.164</v>
      </c>
      <c r="BF73" s="33">
        <f t="shared" si="42"/>
        <v>1</v>
      </c>
      <c r="BG73" s="38">
        <f t="shared" si="14"/>
        <v>8.164</v>
      </c>
      <c r="BH73" s="2"/>
      <c r="BI73" s="32">
        <f t="shared" si="15"/>
        <v>0.8</v>
      </c>
      <c r="BJ73" s="32">
        <f t="shared" si="16"/>
        <v>0.2</v>
      </c>
      <c r="BK73" s="35">
        <f t="shared" si="43"/>
        <v>0</v>
      </c>
      <c r="BL73" s="35">
        <f t="shared" si="44"/>
        <v>0</v>
      </c>
      <c r="BM73" s="32">
        <f t="shared" si="45"/>
        <v>0</v>
      </c>
      <c r="BN73" s="34">
        <f t="shared" si="46"/>
        <v>0.6390066302943593</v>
      </c>
      <c r="BO73" s="36">
        <f t="shared" si="47"/>
        <v>122.05026638622263</v>
      </c>
      <c r="BP73" s="60">
        <f t="shared" si="48"/>
        <v>0.010196346398180671</v>
      </c>
      <c r="BQ73" s="61">
        <f t="shared" si="49"/>
        <v>191</v>
      </c>
      <c r="BR73" s="27"/>
      <c r="BS73" s="50">
        <f t="shared" si="50"/>
        <v>34.9964855003649</v>
      </c>
      <c r="BT73" s="35">
        <f t="shared" si="51"/>
        <v>3.487500663029436</v>
      </c>
      <c r="BU73" s="32">
        <f t="shared" si="52"/>
        <v>0.1</v>
      </c>
      <c r="BV73" s="35">
        <f t="shared" si="53"/>
        <v>0</v>
      </c>
      <c r="BW73" s="35">
        <f t="shared" si="54"/>
        <v>3.487500663029436</v>
      </c>
      <c r="BX73" s="35"/>
      <c r="BY73" s="6"/>
    </row>
    <row r="74" spans="1:77" ht="12.75" hidden="1">
      <c r="A74" s="70"/>
      <c r="B74" s="76">
        <v>10</v>
      </c>
      <c r="C74" s="76">
        <v>-21</v>
      </c>
      <c r="D74" s="77"/>
      <c r="E74" s="77"/>
      <c r="F74" s="78">
        <v>6</v>
      </c>
      <c r="G74" s="79" t="s">
        <v>26</v>
      </c>
      <c r="H74" s="80"/>
      <c r="I74" s="80"/>
      <c r="J74" s="81">
        <v>0.0023702501574828366</v>
      </c>
      <c r="K74" s="7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18">
        <v>12</v>
      </c>
      <c r="BB74" s="31">
        <f t="shared" si="38"/>
        <v>74.63597441838117</v>
      </c>
      <c r="BC74" s="32">
        <f t="shared" si="39"/>
        <v>0.5112053042354875</v>
      </c>
      <c r="BD74" s="33">
        <f t="shared" si="40"/>
        <v>146</v>
      </c>
      <c r="BE74" s="34">
        <f t="shared" si="41"/>
        <v>8.2</v>
      </c>
      <c r="BF74" s="33">
        <f t="shared" si="42"/>
        <v>1</v>
      </c>
      <c r="BG74" s="38">
        <f t="shared" si="14"/>
        <v>8.2</v>
      </c>
      <c r="BH74" s="2"/>
      <c r="BI74" s="32">
        <f t="shared" si="15"/>
        <v>1</v>
      </c>
      <c r="BJ74" s="32">
        <f t="shared" si="16"/>
        <v>0</v>
      </c>
      <c r="BK74" s="35">
        <f t="shared" si="43"/>
        <v>0</v>
      </c>
      <c r="BL74" s="35">
        <f t="shared" si="44"/>
        <v>0</v>
      </c>
      <c r="BM74" s="32">
        <f t="shared" si="45"/>
        <v>0</v>
      </c>
      <c r="BN74" s="34">
        <f t="shared" si="46"/>
        <v>0.5112053042354875</v>
      </c>
      <c r="BO74" s="36">
        <f t="shared" si="47"/>
        <v>74.63597441838118</v>
      </c>
      <c r="BP74" s="60">
        <f t="shared" si="48"/>
        <v>0.0062352526665314266</v>
      </c>
      <c r="BQ74" s="61">
        <f t="shared" si="49"/>
        <v>146</v>
      </c>
      <c r="BR74" s="27"/>
      <c r="BS74" s="50">
        <f t="shared" si="50"/>
        <v>21.1366261149485</v>
      </c>
      <c r="BT74" s="35">
        <f t="shared" si="51"/>
        <v>3.5311205304235487</v>
      </c>
      <c r="BU74" s="32">
        <f t="shared" si="52"/>
        <v>0.1</v>
      </c>
      <c r="BV74" s="35">
        <f t="shared" si="53"/>
        <v>0</v>
      </c>
      <c r="BW74" s="35">
        <f t="shared" si="54"/>
        <v>3.5311205304235482</v>
      </c>
      <c r="BX74" s="35"/>
      <c r="BY74" s="6"/>
    </row>
    <row r="75" spans="1:77" ht="24" customHeight="1" hidden="1">
      <c r="A75" s="70"/>
      <c r="B75" s="76">
        <v>11</v>
      </c>
      <c r="C75" s="76">
        <v>-20</v>
      </c>
      <c r="D75" s="77"/>
      <c r="E75" s="77"/>
      <c r="F75" s="78">
        <v>13</v>
      </c>
      <c r="G75" s="79" t="s">
        <v>26</v>
      </c>
      <c r="H75" s="80"/>
      <c r="I75" s="80"/>
      <c r="J75" s="81">
        <v>0.004996743575234088</v>
      </c>
      <c r="K75" s="72"/>
      <c r="L75" s="2"/>
      <c r="M75" s="2"/>
      <c r="N75" s="167" t="s">
        <v>69</v>
      </c>
      <c r="O75" s="168"/>
      <c r="P75" s="168"/>
      <c r="Q75" s="168"/>
      <c r="R75" s="168"/>
      <c r="S75" s="168"/>
      <c r="T75" s="168"/>
      <c r="U75" s="168"/>
      <c r="V75" s="169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18">
        <v>13</v>
      </c>
      <c r="BB75" s="31">
        <f t="shared" si="38"/>
        <v>57.51059672649235</v>
      </c>
      <c r="BC75" s="32">
        <f t="shared" si="39"/>
        <v>0.3834039781766157</v>
      </c>
      <c r="BD75" s="33">
        <f t="shared" si="40"/>
        <v>150</v>
      </c>
      <c r="BE75" s="34">
        <f t="shared" si="41"/>
        <v>8.235999999999997</v>
      </c>
      <c r="BF75" s="33">
        <f t="shared" si="42"/>
        <v>1</v>
      </c>
      <c r="BG75" s="38">
        <f t="shared" si="14"/>
        <v>8.235999999999997</v>
      </c>
      <c r="BH75" s="2"/>
      <c r="BI75" s="32">
        <f t="shared" si="15"/>
        <v>1.2</v>
      </c>
      <c r="BJ75" s="32">
        <f t="shared" si="16"/>
        <v>-0.2</v>
      </c>
      <c r="BK75" s="35">
        <f t="shared" si="43"/>
        <v>0</v>
      </c>
      <c r="BL75" s="35">
        <f t="shared" si="44"/>
        <v>0</v>
      </c>
      <c r="BM75" s="32">
        <f t="shared" si="45"/>
        <v>0</v>
      </c>
      <c r="BN75" s="34">
        <f t="shared" si="46"/>
        <v>0.3834039781766157</v>
      </c>
      <c r="BO75" s="36">
        <f t="shared" si="47"/>
        <v>57.51059672649235</v>
      </c>
      <c r="BP75" s="60">
        <f t="shared" si="48"/>
        <v>0.004804561130032778</v>
      </c>
      <c r="BQ75" s="61">
        <f t="shared" si="49"/>
        <v>150</v>
      </c>
      <c r="BR75" s="27"/>
      <c r="BS75" s="50">
        <f t="shared" si="50"/>
        <v>16.088048452861617</v>
      </c>
      <c r="BT75" s="35">
        <f t="shared" si="51"/>
        <v>3.5747403978176613</v>
      </c>
      <c r="BU75" s="32">
        <f t="shared" si="52"/>
        <v>0.1</v>
      </c>
      <c r="BV75" s="35">
        <f t="shared" si="53"/>
        <v>0</v>
      </c>
      <c r="BW75" s="35">
        <f t="shared" si="54"/>
        <v>3.5747403978176613</v>
      </c>
      <c r="BX75" s="35"/>
      <c r="BY75" s="6"/>
    </row>
    <row r="76" spans="1:77" ht="15.75" hidden="1">
      <c r="A76" s="70"/>
      <c r="B76" s="76">
        <v>12</v>
      </c>
      <c r="C76" s="76">
        <v>-19</v>
      </c>
      <c r="D76" s="77"/>
      <c r="E76" s="77"/>
      <c r="F76" s="78">
        <v>17</v>
      </c>
      <c r="G76" s="79" t="s">
        <v>26</v>
      </c>
      <c r="H76" s="80"/>
      <c r="I76" s="80"/>
      <c r="J76" s="81">
        <v>0.00635269749415445</v>
      </c>
      <c r="K76" s="72"/>
      <c r="L76" s="2"/>
      <c r="M76" s="2"/>
      <c r="N76" s="104"/>
      <c r="O76" s="105"/>
      <c r="P76" s="173" t="s">
        <v>70</v>
      </c>
      <c r="Q76" s="176"/>
      <c r="R76" s="177"/>
      <c r="S76" s="173" t="s">
        <v>71</v>
      </c>
      <c r="T76" s="174"/>
      <c r="U76" s="175"/>
      <c r="V76" s="10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18">
        <v>14</v>
      </c>
      <c r="BB76" s="31">
        <f t="shared" si="38"/>
        <v>24.793457255421142</v>
      </c>
      <c r="BC76" s="32">
        <f t="shared" si="39"/>
        <v>0.25560265211774374</v>
      </c>
      <c r="BD76" s="33">
        <f t="shared" si="40"/>
        <v>97</v>
      </c>
      <c r="BE76" s="34">
        <f t="shared" si="41"/>
        <v>8.271999999999998</v>
      </c>
      <c r="BF76" s="33">
        <f t="shared" si="42"/>
        <v>1</v>
      </c>
      <c r="BG76" s="38">
        <f t="shared" si="14"/>
        <v>8.271999999999998</v>
      </c>
      <c r="BH76" s="2"/>
      <c r="BI76" s="32">
        <f t="shared" si="15"/>
        <v>1.4</v>
      </c>
      <c r="BJ76" s="32">
        <f t="shared" si="16"/>
        <v>-0.4</v>
      </c>
      <c r="BK76" s="35">
        <f t="shared" si="43"/>
        <v>0</v>
      </c>
      <c r="BL76" s="35">
        <f t="shared" si="44"/>
        <v>0</v>
      </c>
      <c r="BM76" s="32">
        <f t="shared" si="45"/>
        <v>0</v>
      </c>
      <c r="BN76" s="34">
        <f t="shared" si="46"/>
        <v>0.25560265211774374</v>
      </c>
      <c r="BO76" s="36">
        <f t="shared" si="47"/>
        <v>24.793457255421142</v>
      </c>
      <c r="BP76" s="60">
        <f t="shared" si="48"/>
        <v>0.002071299687169686</v>
      </c>
      <c r="BQ76" s="61">
        <f t="shared" si="49"/>
        <v>97</v>
      </c>
      <c r="BR76" s="27"/>
      <c r="BS76" s="50">
        <f t="shared" si="50"/>
        <v>6.852125116947148</v>
      </c>
      <c r="BT76" s="35">
        <f t="shared" si="51"/>
        <v>3.6183602652117743</v>
      </c>
      <c r="BU76" s="32">
        <f t="shared" si="52"/>
        <v>0.1</v>
      </c>
      <c r="BV76" s="35">
        <f t="shared" si="53"/>
        <v>0</v>
      </c>
      <c r="BW76" s="35">
        <f t="shared" si="54"/>
        <v>3.6183602652117743</v>
      </c>
      <c r="BX76" s="35"/>
      <c r="BY76" s="6"/>
    </row>
    <row r="77" spans="1:77" ht="18.75" hidden="1">
      <c r="A77" s="70"/>
      <c r="B77" s="76">
        <v>13</v>
      </c>
      <c r="C77" s="76">
        <v>-18</v>
      </c>
      <c r="D77" s="77"/>
      <c r="E77" s="77"/>
      <c r="F77" s="78">
        <v>19</v>
      </c>
      <c r="G77" s="79" t="s">
        <v>26</v>
      </c>
      <c r="H77" s="80"/>
      <c r="I77" s="80"/>
      <c r="J77" s="81">
        <v>0.006897214422224832</v>
      </c>
      <c r="K77" s="72"/>
      <c r="L77" s="2"/>
      <c r="N77" s="106" t="s">
        <v>77</v>
      </c>
      <c r="O77" s="107" t="s">
        <v>76</v>
      </c>
      <c r="P77" s="108" t="s">
        <v>72</v>
      </c>
      <c r="Q77" s="108" t="s">
        <v>73</v>
      </c>
      <c r="R77" s="108" t="s">
        <v>74</v>
      </c>
      <c r="S77" s="108" t="s">
        <v>72</v>
      </c>
      <c r="T77" s="108" t="s">
        <v>73</v>
      </c>
      <c r="U77" s="108" t="s">
        <v>74</v>
      </c>
      <c r="V77" s="104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18">
        <v>15</v>
      </c>
      <c r="BB77" s="31">
        <f t="shared" si="38"/>
        <v>7.795880889591184</v>
      </c>
      <c r="BC77" s="32">
        <f t="shared" si="39"/>
        <v>0.12780132605887187</v>
      </c>
      <c r="BD77" s="33">
        <f t="shared" si="40"/>
        <v>61</v>
      </c>
      <c r="BE77" s="34">
        <f t="shared" si="41"/>
        <v>8.308</v>
      </c>
      <c r="BF77" s="33">
        <f t="shared" si="42"/>
        <v>1</v>
      </c>
      <c r="BG77" s="38">
        <f t="shared" si="14"/>
        <v>8.308</v>
      </c>
      <c r="BH77" s="2"/>
      <c r="BI77" s="32">
        <f t="shared" si="15"/>
        <v>1.6</v>
      </c>
      <c r="BJ77" s="32">
        <f t="shared" si="16"/>
        <v>-0.6</v>
      </c>
      <c r="BK77" s="35">
        <f t="shared" si="43"/>
        <v>0</v>
      </c>
      <c r="BL77" s="35">
        <f t="shared" si="44"/>
        <v>0</v>
      </c>
      <c r="BM77" s="32">
        <f t="shared" si="45"/>
        <v>0</v>
      </c>
      <c r="BN77" s="34">
        <f t="shared" si="46"/>
        <v>0.12780132605887187</v>
      </c>
      <c r="BO77" s="36">
        <f t="shared" si="47"/>
        <v>7.795880889591184</v>
      </c>
      <c r="BP77" s="60">
        <f t="shared" si="48"/>
        <v>0.0006512849531822209</v>
      </c>
      <c r="BQ77" s="61">
        <f t="shared" si="49"/>
        <v>61</v>
      </c>
      <c r="BR77" s="27"/>
      <c r="BS77" s="50">
        <f t="shared" si="50"/>
        <v>2.128870339895478</v>
      </c>
      <c r="BT77" s="35">
        <f t="shared" si="51"/>
        <v>3.661980132605888</v>
      </c>
      <c r="BU77" s="32">
        <f t="shared" si="52"/>
        <v>0.1</v>
      </c>
      <c r="BV77" s="35">
        <f t="shared" si="53"/>
        <v>0</v>
      </c>
      <c r="BW77" s="35">
        <f t="shared" si="54"/>
        <v>3.661980132605888</v>
      </c>
      <c r="BX77" s="35"/>
      <c r="BY77" s="6"/>
    </row>
    <row r="78" spans="1:77" ht="12.75" hidden="1">
      <c r="A78" s="70"/>
      <c r="B78" s="76">
        <v>14</v>
      </c>
      <c r="C78" s="76">
        <v>-17</v>
      </c>
      <c r="D78" s="77"/>
      <c r="E78" s="77"/>
      <c r="F78" s="78">
        <v>26</v>
      </c>
      <c r="G78" s="79" t="s">
        <v>26</v>
      </c>
      <c r="H78" s="80"/>
      <c r="I78" s="80"/>
      <c r="J78" s="81">
        <v>0.009160696554595827</v>
      </c>
      <c r="K78" s="72"/>
      <c r="L78" s="2"/>
      <c r="N78" s="102" t="s">
        <v>51</v>
      </c>
      <c r="O78" s="109">
        <v>1400</v>
      </c>
      <c r="P78" s="109">
        <v>179</v>
      </c>
      <c r="Q78" s="109">
        <v>3851</v>
      </c>
      <c r="R78" s="109">
        <v>3672</v>
      </c>
      <c r="S78" s="109">
        <v>179</v>
      </c>
      <c r="T78" s="109">
        <v>179</v>
      </c>
      <c r="U78" s="109">
        <v>0</v>
      </c>
      <c r="V78" s="104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18">
        <v>16</v>
      </c>
      <c r="BB78" s="31"/>
      <c r="BC78" s="32"/>
      <c r="BD78" s="33"/>
      <c r="BE78" s="34"/>
      <c r="BF78" s="33"/>
      <c r="BG78" s="38"/>
      <c r="BH78" s="2"/>
      <c r="BI78" s="32"/>
      <c r="BJ78" s="32"/>
      <c r="BK78" s="35"/>
      <c r="BL78" s="32"/>
      <c r="BM78" s="2"/>
      <c r="BN78" s="34"/>
      <c r="BO78" s="36"/>
      <c r="BP78" s="60"/>
      <c r="BQ78" s="28"/>
      <c r="BR78" s="27"/>
      <c r="BS78" s="50"/>
      <c r="BT78" s="35"/>
      <c r="BU78" s="32"/>
      <c r="BV78" s="35"/>
      <c r="BW78" s="35"/>
      <c r="BX78" s="35"/>
      <c r="BY78" s="6"/>
    </row>
    <row r="79" spans="1:77" ht="12.75" hidden="1">
      <c r="A79" s="70"/>
      <c r="B79" s="76">
        <v>15</v>
      </c>
      <c r="C79" s="76">
        <v>-16</v>
      </c>
      <c r="D79" s="77"/>
      <c r="E79" s="77"/>
      <c r="F79" s="78">
        <v>39</v>
      </c>
      <c r="G79" s="79" t="s">
        <v>26</v>
      </c>
      <c r="H79" s="80"/>
      <c r="I79" s="80"/>
      <c r="J79" s="81">
        <v>0.01332464953395757</v>
      </c>
      <c r="K79" s="72"/>
      <c r="L79" s="2"/>
      <c r="N79" s="102" t="s">
        <v>50</v>
      </c>
      <c r="O79" s="109">
        <v>1400</v>
      </c>
      <c r="P79" s="109">
        <v>755</v>
      </c>
      <c r="Q79" s="109">
        <v>2944</v>
      </c>
      <c r="R79" s="109">
        <v>2189</v>
      </c>
      <c r="S79" s="109">
        <v>755</v>
      </c>
      <c r="T79" s="109">
        <v>755</v>
      </c>
      <c r="U79" s="109">
        <v>0</v>
      </c>
      <c r="V79" s="104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8"/>
      <c r="BB79" s="31">
        <f>SUM(LhpC_tp)</f>
        <v>10543.098194552695</v>
      </c>
      <c r="BC79" s="28"/>
      <c r="BD79" s="48">
        <f>SUM(BD52:BD78)</f>
        <v>6076</v>
      </c>
      <c r="BE79" s="28"/>
      <c r="BF79" s="28"/>
      <c r="BG79" s="32"/>
      <c r="BH79" s="2"/>
      <c r="BI79" s="2"/>
      <c r="BJ79" s="2"/>
      <c r="BK79" s="2"/>
      <c r="BL79" s="2"/>
      <c r="BM79" s="2"/>
      <c r="BN79" s="28"/>
      <c r="BO79" s="31">
        <f>SUM(BO39:BO78)</f>
        <v>11965.14354960976</v>
      </c>
      <c r="BP79" s="39">
        <f>SUM(fracC_tp)</f>
        <v>0.999594281504575</v>
      </c>
      <c r="BQ79" s="28"/>
      <c r="BR79" s="27"/>
      <c r="BS79" s="31">
        <f>SUM(BS39:BS77)</f>
        <v>3322.344349109503</v>
      </c>
      <c r="BT79" s="55">
        <f>BB79/BS79</f>
        <v>3.1733911619903545</v>
      </c>
      <c r="BU79" s="55"/>
      <c r="BV79" s="31">
        <f>SUM(resC_tp)</f>
        <v>1422.0453550570674</v>
      </c>
      <c r="BW79" s="55">
        <f>BO79/(BS79+BV79)</f>
        <v>2.521956309596965</v>
      </c>
      <c r="BX79" s="27"/>
      <c r="BY79" s="6"/>
    </row>
    <row r="80" spans="1:77" ht="12.75" hidden="1">
      <c r="A80" s="70"/>
      <c r="B80" s="76">
        <v>16</v>
      </c>
      <c r="C80" s="76">
        <v>-15</v>
      </c>
      <c r="D80" s="77"/>
      <c r="E80" s="77"/>
      <c r="F80" s="78">
        <v>41</v>
      </c>
      <c r="G80" s="79" t="s">
        <v>26</v>
      </c>
      <c r="H80" s="80"/>
      <c r="I80" s="80"/>
      <c r="J80" s="81">
        <v>0.013570215991714799</v>
      </c>
      <c r="K80" s="72"/>
      <c r="L80" s="2"/>
      <c r="N80" s="102" t="s">
        <v>49</v>
      </c>
      <c r="O80" s="109">
        <v>2100</v>
      </c>
      <c r="P80" s="109">
        <v>131</v>
      </c>
      <c r="Q80" s="109">
        <v>4476</v>
      </c>
      <c r="R80" s="109">
        <v>4345</v>
      </c>
      <c r="S80" s="109">
        <v>131</v>
      </c>
      <c r="T80" s="109">
        <v>131</v>
      </c>
      <c r="U80" s="109">
        <v>0</v>
      </c>
      <c r="V80" s="104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4" t="s">
        <v>28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6"/>
      <c r="BT80" s="6"/>
      <c r="BU80" s="6"/>
      <c r="BV80" s="6"/>
      <c r="BW80" s="6"/>
      <c r="BX80" s="6"/>
      <c r="BY80" s="6"/>
    </row>
    <row r="81" spans="1:77" ht="12.75" hidden="1">
      <c r="A81" s="82"/>
      <c r="B81" s="76">
        <v>17</v>
      </c>
      <c r="C81" s="76">
        <v>-14</v>
      </c>
      <c r="D81" s="77"/>
      <c r="E81" s="77"/>
      <c r="F81" s="78">
        <v>35</v>
      </c>
      <c r="G81" s="79" t="s">
        <v>26</v>
      </c>
      <c r="H81" s="80"/>
      <c r="I81" s="80"/>
      <c r="J81" s="81">
        <v>0.011210642636743148</v>
      </c>
      <c r="K81" s="83"/>
      <c r="BS81" s="59"/>
      <c r="BT81" s="59"/>
      <c r="BU81" s="59"/>
      <c r="BV81" s="59"/>
      <c r="BW81" s="59"/>
      <c r="BX81" s="59"/>
      <c r="BY81" s="59"/>
    </row>
    <row r="82" spans="1:77" ht="12.75" hidden="1">
      <c r="A82" s="82"/>
      <c r="B82" s="76">
        <v>18</v>
      </c>
      <c r="C82" s="76">
        <v>-13</v>
      </c>
      <c r="D82" s="77"/>
      <c r="E82" s="77"/>
      <c r="F82" s="78">
        <v>52</v>
      </c>
      <c r="G82" s="79" t="s">
        <v>26</v>
      </c>
      <c r="H82" s="80"/>
      <c r="I82" s="80"/>
      <c r="J82" s="81">
        <v>0.016100618186865395</v>
      </c>
      <c r="K82" s="83"/>
      <c r="BS82" s="59"/>
      <c r="BT82" s="59"/>
      <c r="BU82" s="59"/>
      <c r="BV82" s="59"/>
      <c r="BW82" s="59"/>
      <c r="BX82" s="59"/>
      <c r="BY82" s="59"/>
    </row>
    <row r="83" spans="1:77" ht="12.75" hidden="1">
      <c r="A83" s="82"/>
      <c r="B83" s="76">
        <v>19</v>
      </c>
      <c r="C83" s="76">
        <v>-12</v>
      </c>
      <c r="D83" s="77"/>
      <c r="E83" s="77"/>
      <c r="F83" s="78">
        <v>37</v>
      </c>
      <c r="G83" s="79" t="s">
        <v>26</v>
      </c>
      <c r="H83" s="80"/>
      <c r="I83" s="80"/>
      <c r="J83" s="81">
        <v>0.011061167401586572</v>
      </c>
      <c r="K83" s="83"/>
      <c r="N83" s="97" t="s">
        <v>102</v>
      </c>
      <c r="P83" s="134" t="s">
        <v>3</v>
      </c>
      <c r="R83" s="98" t="s">
        <v>122</v>
      </c>
      <c r="T83" s="98" t="s">
        <v>128</v>
      </c>
      <c r="BS83" s="59"/>
      <c r="BT83" s="59"/>
      <c r="BU83" s="59"/>
      <c r="BV83" s="59"/>
      <c r="BW83" s="59"/>
      <c r="BX83" s="59"/>
      <c r="BY83" s="59"/>
    </row>
    <row r="84" spans="1:77" ht="12.75" hidden="1">
      <c r="A84" s="82"/>
      <c r="B84" s="76">
        <v>20</v>
      </c>
      <c r="C84" s="76">
        <v>-11</v>
      </c>
      <c r="D84" s="77"/>
      <c r="E84" s="77"/>
      <c r="F84" s="78">
        <v>41</v>
      </c>
      <c r="G84" s="79" t="s">
        <v>26</v>
      </c>
      <c r="H84" s="80"/>
      <c r="I84" s="80"/>
      <c r="J84" s="81">
        <v>0.011819220379880632</v>
      </c>
      <c r="K84" s="83"/>
      <c r="N84" s="98" t="s">
        <v>95</v>
      </c>
      <c r="P84" s="143">
        <v>1</v>
      </c>
      <c r="R84" s="98" t="s">
        <v>125</v>
      </c>
      <c r="T84" s="98" t="s">
        <v>126</v>
      </c>
      <c r="BS84" s="59"/>
      <c r="BT84" s="59"/>
      <c r="BU84" s="59"/>
      <c r="BV84" s="59"/>
      <c r="BW84" s="59"/>
      <c r="BX84" s="59"/>
      <c r="BY84" s="59"/>
    </row>
    <row r="85" spans="1:20" ht="12.75" hidden="1">
      <c r="A85" s="82"/>
      <c r="B85" s="76">
        <v>21</v>
      </c>
      <c r="C85" s="76">
        <v>-10</v>
      </c>
      <c r="D85" s="77"/>
      <c r="E85" s="78">
        <v>1</v>
      </c>
      <c r="F85" s="78">
        <v>43</v>
      </c>
      <c r="G85" s="79" t="s">
        <v>26</v>
      </c>
      <c r="H85" s="84"/>
      <c r="I85" s="85">
        <v>0.00048411723084943955</v>
      </c>
      <c r="J85" s="81">
        <v>0.011936665207503657</v>
      </c>
      <c r="K85" s="83"/>
      <c r="N85" s="98" t="s">
        <v>96</v>
      </c>
      <c r="R85" s="98" t="s">
        <v>123</v>
      </c>
      <c r="T85" s="98" t="s">
        <v>127</v>
      </c>
    </row>
    <row r="86" spans="1:14" ht="12.75" hidden="1">
      <c r="A86" s="82"/>
      <c r="B86" s="76">
        <v>22</v>
      </c>
      <c r="C86" s="76">
        <v>-9</v>
      </c>
      <c r="D86" s="77"/>
      <c r="E86" s="78">
        <v>25</v>
      </c>
      <c r="F86" s="78">
        <v>54</v>
      </c>
      <c r="G86" s="79" t="s">
        <v>26</v>
      </c>
      <c r="H86" s="84"/>
      <c r="I86" s="85">
        <v>0.011637433433880757</v>
      </c>
      <c r="J86" s="81">
        <v>0.01441368339009833</v>
      </c>
      <c r="K86" s="83"/>
      <c r="N86" s="98" t="s">
        <v>97</v>
      </c>
    </row>
    <row r="87" spans="1:20" ht="12.75" hidden="1">
      <c r="A87" s="82"/>
      <c r="B87" s="76">
        <v>23</v>
      </c>
      <c r="C87" s="76">
        <v>-8</v>
      </c>
      <c r="D87" s="77"/>
      <c r="E87" s="78">
        <v>23</v>
      </c>
      <c r="F87" s="78">
        <v>90</v>
      </c>
      <c r="G87" s="79" t="s">
        <v>26</v>
      </c>
      <c r="H87" s="84"/>
      <c r="I87" s="85">
        <v>0.010278181208803484</v>
      </c>
      <c r="J87" s="81">
        <v>0.023061893424157334</v>
      </c>
      <c r="K87" s="83"/>
      <c r="N87" s="98" t="s">
        <v>98</v>
      </c>
      <c r="R87" s="98" t="s">
        <v>124</v>
      </c>
      <c r="T87" s="98" t="s">
        <v>133</v>
      </c>
    </row>
    <row r="88" spans="1:20" ht="12.75" hidden="1">
      <c r="A88" s="82"/>
      <c r="B88" s="76">
        <v>24</v>
      </c>
      <c r="C88" s="76">
        <v>-7</v>
      </c>
      <c r="D88" s="77"/>
      <c r="E88" s="78">
        <v>24</v>
      </c>
      <c r="F88" s="78">
        <v>125</v>
      </c>
      <c r="G88" s="79" t="s">
        <v>26</v>
      </c>
      <c r="H88" s="84"/>
      <c r="I88" s="85">
        <v>0.010278181208803484</v>
      </c>
      <c r="J88" s="81">
        <v>0.030695807219653856</v>
      </c>
      <c r="K88" s="83"/>
      <c r="R88" s="134">
        <f>IF(VALUE(LEFT(D11,1))=1,0,1)</f>
        <v>0</v>
      </c>
      <c r="T88" s="134">
        <f>IF(VALUE(LEFT(D12,1))=1,1,0)</f>
        <v>1</v>
      </c>
    </row>
    <row r="89" spans="1:14" ht="12.75" hidden="1">
      <c r="A89" s="82"/>
      <c r="B89" s="76">
        <v>25</v>
      </c>
      <c r="C89" s="76">
        <v>-6</v>
      </c>
      <c r="D89" s="77"/>
      <c r="E89" s="78">
        <v>27</v>
      </c>
      <c r="F89" s="78">
        <v>169</v>
      </c>
      <c r="G89" s="79" t="s">
        <v>26</v>
      </c>
      <c r="H89" s="84"/>
      <c r="I89" s="85">
        <v>0.011060216735560274</v>
      </c>
      <c r="J89" s="81">
        <v>0.03969635173658192</v>
      </c>
      <c r="K89" s="83"/>
      <c r="N89" s="98" t="s">
        <v>131</v>
      </c>
    </row>
    <row r="90" spans="1:14" ht="12.75" hidden="1">
      <c r="A90" s="82"/>
      <c r="B90" s="76">
        <v>26</v>
      </c>
      <c r="C90" s="76">
        <v>-5</v>
      </c>
      <c r="D90" s="77"/>
      <c r="E90" s="78">
        <v>68</v>
      </c>
      <c r="F90" s="78">
        <v>195</v>
      </c>
      <c r="G90" s="79" t="s">
        <v>26</v>
      </c>
      <c r="H90" s="84"/>
      <c r="I90" s="85">
        <v>0.026589207909730756</v>
      </c>
      <c r="J90" s="81">
        <v>0.04372150628329827</v>
      </c>
      <c r="K90" s="83"/>
      <c r="N90" s="134">
        <f>IF(OR(VALUE(LEFT(D7,1))=1,VALUE(LEFT(D7,1))=2),1,0)</f>
        <v>1</v>
      </c>
    </row>
    <row r="91" spans="1:11" ht="12.75" hidden="1">
      <c r="A91" s="82"/>
      <c r="B91" s="76">
        <v>27</v>
      </c>
      <c r="C91" s="76">
        <v>-4</v>
      </c>
      <c r="D91" s="77"/>
      <c r="E91" s="78">
        <v>91</v>
      </c>
      <c r="F91" s="78">
        <v>278</v>
      </c>
      <c r="G91" s="79" t="s">
        <v>26</v>
      </c>
      <c r="H91" s="84"/>
      <c r="I91" s="85">
        <v>0.03388820615946077</v>
      </c>
      <c r="J91" s="81">
        <v>0.05936302196218276</v>
      </c>
      <c r="K91" s="83"/>
    </row>
    <row r="92" spans="1:14" ht="12.75" hidden="1">
      <c r="A92" s="82"/>
      <c r="B92" s="76">
        <v>28</v>
      </c>
      <c r="C92" s="76">
        <v>-3</v>
      </c>
      <c r="D92" s="77"/>
      <c r="E92" s="78">
        <v>89</v>
      </c>
      <c r="F92" s="78">
        <v>306</v>
      </c>
      <c r="G92" s="79" t="s">
        <v>26</v>
      </c>
      <c r="H92" s="84"/>
      <c r="I92" s="85">
        <v>0.031486239898707774</v>
      </c>
      <c r="J92" s="81">
        <v>0.06207492980002348</v>
      </c>
      <c r="K92" s="83"/>
      <c r="N92" s="98" t="s">
        <v>132</v>
      </c>
    </row>
    <row r="93" spans="1:14" ht="12.75" hidden="1">
      <c r="A93" s="82"/>
      <c r="B93" s="76">
        <v>29</v>
      </c>
      <c r="C93" s="76">
        <v>-2</v>
      </c>
      <c r="D93" s="77"/>
      <c r="E93" s="78">
        <v>165</v>
      </c>
      <c r="F93" s="78">
        <v>454</v>
      </c>
      <c r="G93" s="79" t="s">
        <v>26</v>
      </c>
      <c r="H93" s="84"/>
      <c r="I93" s="85">
        <v>0.05530108367780136</v>
      </c>
      <c r="J93" s="81">
        <v>0.08725083012139523</v>
      </c>
      <c r="K93" s="83"/>
      <c r="N93" s="134">
        <f>IF(OR(VALUE(LEFT(D7,1))=1,VALUE(LEFT(D7,1))=3),1,0)</f>
        <v>1</v>
      </c>
    </row>
    <row r="94" spans="1:11" ht="12.75" hidden="1">
      <c r="A94" s="82"/>
      <c r="B94" s="76">
        <v>30</v>
      </c>
      <c r="C94" s="76">
        <v>-1</v>
      </c>
      <c r="D94" s="77"/>
      <c r="E94" s="78">
        <v>173</v>
      </c>
      <c r="F94" s="78">
        <v>385</v>
      </c>
      <c r="G94" s="79" t="s">
        <v>26</v>
      </c>
      <c r="H94" s="84"/>
      <c r="I94" s="85">
        <v>0.054761106766469295</v>
      </c>
      <c r="J94" s="81">
        <v>0.06987967243569895</v>
      </c>
      <c r="K94" s="83"/>
    </row>
    <row r="95" spans="1:11" ht="12.75" hidden="1">
      <c r="A95" s="82"/>
      <c r="B95" s="76">
        <v>31</v>
      </c>
      <c r="C95" s="76">
        <v>0</v>
      </c>
      <c r="D95" s="77"/>
      <c r="E95" s="78">
        <v>240</v>
      </c>
      <c r="F95" s="78">
        <v>490</v>
      </c>
      <c r="G95" s="79" t="s">
        <v>26</v>
      </c>
      <c r="H95" s="84"/>
      <c r="I95" s="85">
        <v>0.07150039101776337</v>
      </c>
      <c r="J95" s="81">
        <v>0.08370613168768218</v>
      </c>
      <c r="K95" s="83"/>
    </row>
    <row r="96" spans="1:11" ht="12.75" hidden="1">
      <c r="A96" s="82"/>
      <c r="B96" s="76">
        <v>32</v>
      </c>
      <c r="C96" s="76">
        <v>1</v>
      </c>
      <c r="D96" s="77"/>
      <c r="E96" s="78">
        <v>280</v>
      </c>
      <c r="F96" s="78">
        <v>533</v>
      </c>
      <c r="G96" s="79" t="s">
        <v>26</v>
      </c>
      <c r="H96" s="86"/>
      <c r="I96" s="85">
        <v>0.07820355267567869</v>
      </c>
      <c r="J96" s="81">
        <v>0.08536103607691567</v>
      </c>
      <c r="K96" s="83"/>
    </row>
    <row r="97" spans="1:11" ht="12.75" hidden="1">
      <c r="A97" s="82"/>
      <c r="B97" s="76">
        <v>33</v>
      </c>
      <c r="C97" s="76">
        <v>2</v>
      </c>
      <c r="D97" s="78">
        <v>3</v>
      </c>
      <c r="E97" s="78">
        <v>320</v>
      </c>
      <c r="F97" s="78">
        <v>380</v>
      </c>
      <c r="G97" s="79" t="s">
        <v>26</v>
      </c>
      <c r="H97" s="87">
        <v>0.002245869204855355</v>
      </c>
      <c r="I97" s="88">
        <v>0.08341712285405727</v>
      </c>
      <c r="J97" s="81">
        <v>0.05680058935949861</v>
      </c>
      <c r="K97" s="83"/>
    </row>
    <row r="98" spans="1:11" ht="12.75" hidden="1">
      <c r="A98" s="82"/>
      <c r="B98" s="76">
        <v>34</v>
      </c>
      <c r="C98" s="76">
        <v>3</v>
      </c>
      <c r="D98" s="78">
        <v>22</v>
      </c>
      <c r="E98" s="78">
        <v>357</v>
      </c>
      <c r="F98" s="78">
        <v>228</v>
      </c>
      <c r="G98" s="79" t="s">
        <v>26</v>
      </c>
      <c r="H98" s="88">
        <v>0.015293299823538846</v>
      </c>
      <c r="I98" s="88">
        <v>0.08641492570662494</v>
      </c>
      <c r="J98" s="81">
        <v>0.03164604264314923</v>
      </c>
      <c r="K98" s="83"/>
    </row>
    <row r="99" spans="1:11" ht="12.75" hidden="1">
      <c r="A99" s="82"/>
      <c r="B99" s="76">
        <v>35</v>
      </c>
      <c r="C99" s="76">
        <v>4</v>
      </c>
      <c r="D99" s="78">
        <v>63</v>
      </c>
      <c r="E99" s="78">
        <v>356</v>
      </c>
      <c r="F99" s="78">
        <v>261</v>
      </c>
      <c r="G99" s="79" t="s">
        <v>26</v>
      </c>
      <c r="H99" s="88">
        <v>0.04042564568739639</v>
      </c>
      <c r="I99" s="88">
        <v>0.07954418500726176</v>
      </c>
      <c r="J99" s="81">
        <v>0.033439745465028134</v>
      </c>
      <c r="K99" s="83"/>
    </row>
    <row r="100" spans="1:11" ht="12.75" hidden="1">
      <c r="A100" s="82"/>
      <c r="B100" s="76">
        <v>36</v>
      </c>
      <c r="C100" s="76">
        <v>5</v>
      </c>
      <c r="D100" s="78">
        <v>63</v>
      </c>
      <c r="E100" s="78">
        <v>303</v>
      </c>
      <c r="F100" s="78">
        <v>279</v>
      </c>
      <c r="G100" s="79" t="s">
        <v>26</v>
      </c>
      <c r="H100" s="88">
        <v>0.037056841880113364</v>
      </c>
      <c r="I100" s="88">
        <v>0.0620601050161993</v>
      </c>
      <c r="J100" s="81">
        <v>0.03276710690682354</v>
      </c>
      <c r="K100" s="83"/>
    </row>
    <row r="101" spans="1:11" ht="12.75" hidden="1">
      <c r="A101" s="82"/>
      <c r="B101" s="76">
        <v>37</v>
      </c>
      <c r="C101" s="76">
        <v>6</v>
      </c>
      <c r="D101" s="78">
        <v>175</v>
      </c>
      <c r="E101" s="78">
        <v>330</v>
      </c>
      <c r="F101" s="78">
        <v>229</v>
      </c>
      <c r="G101" s="79" t="s">
        <v>26</v>
      </c>
      <c r="H101" s="88">
        <v>0.0935778835356398</v>
      </c>
      <c r="I101" s="88">
        <v>0.06144564853089039</v>
      </c>
      <c r="J101" s="81">
        <v>0.024449877750611245</v>
      </c>
      <c r="K101" s="83"/>
    </row>
    <row r="102" spans="1:11" ht="12.75" hidden="1">
      <c r="A102" s="82"/>
      <c r="B102" s="76">
        <v>38</v>
      </c>
      <c r="C102" s="76">
        <v>7</v>
      </c>
      <c r="D102" s="78">
        <v>162</v>
      </c>
      <c r="E102" s="78">
        <v>326</v>
      </c>
      <c r="F102" s="78">
        <v>269</v>
      </c>
      <c r="G102" s="79" t="s">
        <v>26</v>
      </c>
      <c r="H102" s="88">
        <v>0.07796374525426447</v>
      </c>
      <c r="I102" s="88">
        <v>0.05463076751200983</v>
      </c>
      <c r="J102" s="81">
        <v>0.025848538879576343</v>
      </c>
      <c r="K102" s="83"/>
    </row>
    <row r="103" spans="1:11" ht="12.75" hidden="1">
      <c r="A103" s="82"/>
      <c r="B103" s="76">
        <v>39</v>
      </c>
      <c r="C103" s="76">
        <v>8</v>
      </c>
      <c r="D103" s="78">
        <v>259</v>
      </c>
      <c r="E103" s="78">
        <v>348</v>
      </c>
      <c r="F103" s="78">
        <v>233</v>
      </c>
      <c r="G103" s="79" t="s">
        <v>26</v>
      </c>
      <c r="H103" s="88">
        <v>0.11079621410619753</v>
      </c>
      <c r="I103" s="88">
        <v>0.05183778348787845</v>
      </c>
      <c r="J103" s="81">
        <v>0.01990155988084688</v>
      </c>
      <c r="K103" s="83"/>
    </row>
    <row r="104" spans="1:11" ht="12.75" hidden="1">
      <c r="A104" s="82"/>
      <c r="B104" s="76">
        <v>40</v>
      </c>
      <c r="C104" s="76">
        <v>9</v>
      </c>
      <c r="D104" s="78">
        <v>360</v>
      </c>
      <c r="E104" s="78">
        <v>335</v>
      </c>
      <c r="F104" s="78">
        <v>230</v>
      </c>
      <c r="G104" s="79" t="s">
        <v>26</v>
      </c>
      <c r="H104" s="88">
        <v>0.13475215229132131</v>
      </c>
      <c r="I104" s="88">
        <v>0.043663650243920604</v>
      </c>
      <c r="J104" s="81">
        <v>0.01718965204300616</v>
      </c>
      <c r="K104" s="83"/>
    </row>
    <row r="105" spans="1:11" ht="12.75" hidden="1">
      <c r="A105" s="82"/>
      <c r="B105" s="76">
        <v>41</v>
      </c>
      <c r="C105" s="76">
        <v>10</v>
      </c>
      <c r="D105" s="78">
        <v>428</v>
      </c>
      <c r="E105" s="78">
        <v>315</v>
      </c>
      <c r="F105" s="78">
        <v>243</v>
      </c>
      <c r="G105" s="79" t="s">
        <v>26</v>
      </c>
      <c r="H105" s="88">
        <v>0.13731885995401313</v>
      </c>
      <c r="I105" s="88">
        <v>0.03519159870405541</v>
      </c>
      <c r="J105" s="81">
        <v>0.0155667780613062</v>
      </c>
      <c r="K105" s="83"/>
    </row>
    <row r="106" spans="1:11" ht="12.75" hidden="1">
      <c r="A106" s="82"/>
      <c r="B106" s="76">
        <v>42</v>
      </c>
      <c r="C106" s="76">
        <v>11</v>
      </c>
      <c r="D106" s="78">
        <v>430</v>
      </c>
      <c r="E106" s="78">
        <v>215</v>
      </c>
      <c r="F106" s="78">
        <v>191</v>
      </c>
      <c r="G106" s="79" t="s">
        <v>26</v>
      </c>
      <c r="H106" s="88">
        <v>0.11496711405807176</v>
      </c>
      <c r="I106" s="88">
        <v>0.0200163855062749</v>
      </c>
      <c r="J106" s="81">
        <v>0.010196346398180671</v>
      </c>
      <c r="K106" s="83"/>
    </row>
    <row r="107" spans="1:11" ht="12.75" hidden="1">
      <c r="A107" s="82"/>
      <c r="B107" s="76">
        <v>43</v>
      </c>
      <c r="C107" s="76">
        <v>12</v>
      </c>
      <c r="D107" s="78">
        <v>503</v>
      </c>
      <c r="E107" s="78">
        <v>169</v>
      </c>
      <c r="F107" s="78">
        <v>146</v>
      </c>
      <c r="G107" s="79" t="s">
        <v>26</v>
      </c>
      <c r="H107" s="88">
        <v>0.10758782952783275</v>
      </c>
      <c r="I107" s="88">
        <v>0.012587048002085427</v>
      </c>
      <c r="J107" s="81">
        <v>0.0062352526665314266</v>
      </c>
      <c r="K107" s="83"/>
    </row>
    <row r="108" spans="1:11" ht="12.75" hidden="1">
      <c r="A108" s="82"/>
      <c r="B108" s="76">
        <v>44</v>
      </c>
      <c r="C108" s="76">
        <v>13</v>
      </c>
      <c r="D108" s="78">
        <v>444</v>
      </c>
      <c r="E108" s="78">
        <v>151</v>
      </c>
      <c r="F108" s="78">
        <v>150</v>
      </c>
      <c r="G108" s="79" t="s">
        <v>26</v>
      </c>
      <c r="H108" s="88">
        <v>0.0712261376396984</v>
      </c>
      <c r="I108" s="88">
        <v>0.008434811752876773</v>
      </c>
      <c r="J108" s="81">
        <v>0.004804561130032778</v>
      </c>
      <c r="K108" s="83"/>
    </row>
    <row r="109" spans="1:11" ht="12.75" hidden="1">
      <c r="A109" s="82"/>
      <c r="B109" s="76">
        <v>45</v>
      </c>
      <c r="C109" s="76">
        <v>14</v>
      </c>
      <c r="D109" s="78">
        <v>384</v>
      </c>
      <c r="E109" s="78">
        <v>105</v>
      </c>
      <c r="F109" s="78">
        <v>97</v>
      </c>
      <c r="G109" s="79" t="s">
        <v>26</v>
      </c>
      <c r="H109" s="88">
        <v>0.04106732260306935</v>
      </c>
      <c r="I109" s="88">
        <v>0.003910177633783934</v>
      </c>
      <c r="J109" s="81">
        <v>0.002071299687169686</v>
      </c>
      <c r="K109" s="83"/>
    </row>
    <row r="110" spans="1:11" ht="12.75" hidden="1">
      <c r="A110" s="82"/>
      <c r="B110" s="76">
        <v>46</v>
      </c>
      <c r="C110" s="76">
        <v>15</v>
      </c>
      <c r="D110" s="78">
        <v>294</v>
      </c>
      <c r="E110" s="78">
        <v>74</v>
      </c>
      <c r="F110" s="78">
        <v>61</v>
      </c>
      <c r="G110" s="79" t="s">
        <v>26</v>
      </c>
      <c r="H110" s="88">
        <v>0.015721084433987488</v>
      </c>
      <c r="I110" s="88">
        <v>0.0013778721185714817</v>
      </c>
      <c r="J110" s="81">
        <v>0.0006512849531822209</v>
      </c>
      <c r="K110" s="83"/>
    </row>
    <row r="111" spans="1:11" ht="12.75" hidden="1">
      <c r="A111" s="82"/>
      <c r="B111" s="74"/>
      <c r="C111" s="74"/>
      <c r="D111" s="74"/>
      <c r="E111" s="74"/>
      <c r="F111" s="74"/>
      <c r="G111" s="74"/>
      <c r="H111" s="89">
        <f>SUM(H73:H110)</f>
        <v>1</v>
      </c>
      <c r="I111" s="89">
        <f>SUM(I73:I110)</f>
        <v>1</v>
      </c>
      <c r="J111" s="89">
        <f>SUM(J73:J110)</f>
        <v>1</v>
      </c>
      <c r="K111" s="83"/>
    </row>
    <row r="112" spans="1:11" ht="12.75" hidden="1">
      <c r="A112" s="82"/>
      <c r="B112" s="74"/>
      <c r="C112" s="74"/>
      <c r="D112" s="74"/>
      <c r="E112" s="74"/>
      <c r="F112" s="74"/>
      <c r="G112" s="74"/>
      <c r="H112" s="74"/>
      <c r="I112" s="74"/>
      <c r="J112" s="74"/>
      <c r="K112" s="83"/>
    </row>
    <row r="113" spans="1:11" ht="13.5" hidden="1" thickBot="1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2"/>
    </row>
    <row r="114" ht="12.75" hidden="1"/>
    <row r="115" ht="12.75" hidden="1"/>
    <row r="116" ht="12.75" hidden="1"/>
    <row r="117" ht="12.75" hidden="1"/>
    <row r="118" ht="12.75" hidden="1"/>
    <row r="119" ht="12.75" hidden="1"/>
  </sheetData>
  <mergeCells count="4">
    <mergeCell ref="N75:V75"/>
    <mergeCell ref="N70:W70"/>
    <mergeCell ref="S76:U76"/>
    <mergeCell ref="P76:R76"/>
  </mergeCells>
  <conditionalFormatting sqref="K39:N66 AI40:AL55 AJ39:AM39 BM40:BM77 BI39:BL78">
    <cfRule type="cellIs" priority="1" dxfId="0" operator="between" stopIfTrue="1">
      <formula>0</formula>
      <formula>0</formula>
    </cfRule>
  </conditionalFormatting>
  <conditionalFormatting sqref="H39:H42 H44:H51 H53:H56 BG53:BG68 AM41:AM54 BG44:BG51 AG40 BG39:BG42">
    <cfRule type="cellIs" priority="2" dxfId="1" operator="equal" stopIfTrue="1">
      <formula>Php4</formula>
    </cfRule>
    <cfRule type="cellIs" priority="3" dxfId="2" operator="equal" stopIfTrue="1">
      <formula>Php3</formula>
    </cfRule>
    <cfRule type="cellIs" priority="4" dxfId="3" operator="equal" stopIfTrue="1">
      <formula>Php2</formula>
    </cfRule>
  </conditionalFormatting>
  <conditionalFormatting sqref="H43 H52 BG43 BG52">
    <cfRule type="cellIs" priority="5" dxfId="4" operator="equal" stopIfTrue="1">
      <formula>Php4</formula>
    </cfRule>
    <cfRule type="cellIs" priority="6" dxfId="5" operator="equal" stopIfTrue="1">
      <formula>Php3</formula>
    </cfRule>
    <cfRule type="cellIs" priority="7" dxfId="6" operator="equal" stopIfTrue="1">
      <formula>Php2</formula>
    </cfRule>
  </conditionalFormatting>
  <conditionalFormatting sqref="AG39 AG41:AG54">
    <cfRule type="cellIs" priority="8" dxfId="1" operator="equal" stopIfTrue="1">
      <formula>Php3</formula>
    </cfRule>
    <cfRule type="cellIs" priority="9" dxfId="2" operator="equal" stopIfTrue="1">
      <formula>Php2</formula>
    </cfRule>
    <cfRule type="cellIs" priority="10" dxfId="2" operator="equal" stopIfTrue="1">
      <formula>Php1</formula>
    </cfRule>
  </conditionalFormatting>
  <conditionalFormatting sqref="H57">
    <cfRule type="cellIs" priority="11" dxfId="1" operator="equal" stopIfTrue="1">
      <formula>Php4</formula>
    </cfRule>
    <cfRule type="cellIs" priority="12" dxfId="2" operator="equal" stopIfTrue="1">
      <formula>Php3</formula>
    </cfRule>
    <cfRule type="cellIs" priority="13" dxfId="5" operator="equal" stopIfTrue="1">
      <formula>Php2</formula>
    </cfRule>
  </conditionalFormatting>
  <conditionalFormatting sqref="H58:H66">
    <cfRule type="cellIs" priority="14" dxfId="1" operator="equal" stopIfTrue="1">
      <formula>Php3</formula>
    </cfRule>
    <cfRule type="cellIs" priority="15" dxfId="2" operator="equal" stopIfTrue="1">
      <formula>Php2</formula>
    </cfRule>
    <cfRule type="cellIs" priority="16" dxfId="5" operator="equal" stopIfTrue="1">
      <formula>Php1</formula>
    </cfRule>
  </conditionalFormatting>
  <conditionalFormatting sqref="B57:B66">
    <cfRule type="cellIs" priority="17" dxfId="7" operator="equal" stopIfTrue="1">
      <formula>tst1</formula>
    </cfRule>
    <cfRule type="cellIs" priority="18" dxfId="7" operator="equal" stopIfTrue="1">
      <formula>tst2</formula>
    </cfRule>
    <cfRule type="cellIs" priority="19" dxfId="8" operator="equal" stopIfTrue="1">
      <formula>tst3</formula>
    </cfRule>
  </conditionalFormatting>
  <conditionalFormatting sqref="B39:B56">
    <cfRule type="cellIs" priority="20" dxfId="7" operator="equal" stopIfTrue="1">
      <formula>tst4</formula>
    </cfRule>
    <cfRule type="cellIs" priority="21" dxfId="7" operator="equal" stopIfTrue="1">
      <formula>tst2</formula>
    </cfRule>
    <cfRule type="cellIs" priority="22" dxfId="8" operator="equal" stopIfTrue="1">
      <formula>tst3</formula>
    </cfRule>
  </conditionalFormatting>
  <conditionalFormatting sqref="BG69:BG78">
    <cfRule type="cellIs" priority="23" dxfId="1" operator="equal" stopIfTrue="1">
      <formula>Php1</formula>
    </cfRule>
    <cfRule type="cellIs" priority="24" dxfId="2" operator="equal" stopIfTrue="1">
      <formula>Php3</formula>
    </cfRule>
    <cfRule type="cellIs" priority="25" dxfId="5" operator="equal" stopIfTrue="1">
      <formula>Php2</formula>
    </cfRule>
  </conditionalFormatting>
  <conditionalFormatting sqref="F10:F12">
    <cfRule type="expression" priority="26" dxfId="9" stopIfTrue="1">
      <formula>OR(VALUE(LEFT(D8,1))=2,VALUE(LEFT(D8,1))=4)</formula>
    </cfRule>
  </conditionalFormatting>
  <conditionalFormatting sqref="E9">
    <cfRule type="expression" priority="27" dxfId="9" stopIfTrue="1">
      <formula>WC=0</formula>
    </cfRule>
  </conditionalFormatting>
  <conditionalFormatting sqref="F9">
    <cfRule type="expression" priority="28" dxfId="9" stopIfTrue="1">
      <formula>CC=0</formula>
    </cfRule>
  </conditionalFormatting>
  <conditionalFormatting sqref="N21">
    <cfRule type="expression" priority="29" dxfId="10" stopIfTrue="1">
      <formula>$L$18&gt;$O$21</formula>
    </cfRule>
  </conditionalFormatting>
  <conditionalFormatting sqref="N22">
    <cfRule type="expression" priority="30" dxfId="10" stopIfTrue="1">
      <formula>AND($L$18&gt;=$O$22,$L$18&lt;$O$21)</formula>
    </cfRule>
  </conditionalFormatting>
  <conditionalFormatting sqref="N23">
    <cfRule type="expression" priority="31" dxfId="10" stopIfTrue="1">
      <formula>AND($L$18&gt;=$O$23,$L$18&lt;$O$22)</formula>
    </cfRule>
  </conditionalFormatting>
  <conditionalFormatting sqref="N24">
    <cfRule type="expression" priority="32" dxfId="10" stopIfTrue="1">
      <formula>AND($L$18&gt;=$O$24,$L$18&lt;$O$23)</formula>
    </cfRule>
  </conditionalFormatting>
  <conditionalFormatting sqref="N25">
    <cfRule type="expression" priority="33" dxfId="10" stopIfTrue="1">
      <formula>AND($L$18&gt;=$O$25,$L$18&lt;$O$24)</formula>
    </cfRule>
  </conditionalFormatting>
  <conditionalFormatting sqref="N26">
    <cfRule type="expression" priority="34" dxfId="10" stopIfTrue="1">
      <formula>AND($L$18&gt;=$O$26,$L$18&lt;$O$25)</formula>
    </cfRule>
  </conditionalFormatting>
  <conditionalFormatting sqref="N27">
    <cfRule type="expression" priority="35" dxfId="10" stopIfTrue="1">
      <formula>$L$18&lt;$O$26</formula>
    </cfRule>
  </conditionalFormatting>
  <conditionalFormatting sqref="N28">
    <cfRule type="expression" priority="36" dxfId="10" stopIfTrue="1">
      <formula>$L$18&lt;$O$27</formula>
    </cfRule>
  </conditionalFormatting>
  <conditionalFormatting sqref="N29">
    <cfRule type="expression" priority="37" dxfId="11" stopIfTrue="1">
      <formula>$L$18&lt;$O$28</formula>
    </cfRule>
  </conditionalFormatting>
  <conditionalFormatting sqref="M28:M29">
    <cfRule type="expression" priority="38" dxfId="12" stopIfTrue="1">
      <formula>$L$18&lt;$O$27</formula>
    </cfRule>
  </conditionalFormatting>
  <dataValidations count="4">
    <dataValidation type="list" allowBlank="1" showInputMessage="1" showErrorMessage="1" sqref="D6">
      <formula1>heatloads</formula1>
    </dataValidation>
    <dataValidation type="list" allowBlank="1" showInputMessage="1" showErrorMessage="1" sqref="D7">
      <formula1>__climates</formula1>
    </dataValidation>
    <dataValidation type="list" allowBlank="1" showInputMessage="1" showErrorMessage="1" sqref="D11">
      <formula1>__uses</formula1>
    </dataValidation>
    <dataValidation type="list" allowBlank="1" showInputMessage="1" showErrorMessage="1" sqref="D12">
      <formula1>__types</formula1>
    </dataValidation>
  </dataValidations>
  <printOptions/>
  <pageMargins left="0.67" right="0.46" top="1" bottom="1" header="0.5" footer="0.5"/>
  <pageSetup horizontalDpi="600" verticalDpi="600" orientation="landscape" paperSize="9" scale="93" r:id="rId4"/>
  <colBreaks count="1" manualBreakCount="1">
    <brk id="15" max="11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2009-05-12T13:49:20Z</cp:lastPrinted>
  <dcterms:created xsi:type="dcterms:W3CDTF">2009-05-04T21:08:37Z</dcterms:created>
  <dcterms:modified xsi:type="dcterms:W3CDTF">2009-05-12T13:50:48Z</dcterms:modified>
  <cp:category/>
  <cp:version/>
  <cp:contentType/>
  <cp:contentStatus/>
</cp:coreProperties>
</file>