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10" yWindow="1515" windowWidth="17985" windowHeight="8535" tabRatio="708" firstSheet="2" activeTab="3"/>
  </bookViews>
  <sheets>
    <sheet name="Övrigt" sheetId="6" state="hidden" r:id="rId1"/>
    <sheet name="Indata Fjärrvärme" sheetId="9" state="hidden" r:id="rId2"/>
    <sheet name="Instruktioner (börja här)" sheetId="25" r:id="rId3"/>
    <sheet name="Växthusgasberäkning" sheetId="13" r:id="rId4"/>
    <sheet name="Resultat" sheetId="21" r:id="rId5"/>
    <sheet name="Indata old" sheetId="5" state="hidden" r:id="rId6"/>
    <sheet name="Typmodell" sheetId="2" state="hidden" r:id="rId7"/>
    <sheet name="Indata" sheetId="22" r:id="rId8"/>
    <sheet name="Tabelldata" sheetId="10" state="hidden" r:id="rId9"/>
    <sheet name="Indata-Transportbränslen" sheetId="23" state="hidden" r:id="rId10"/>
    <sheet name="Beräkning lagring" sheetId="8" state="hidden" r:id="rId11"/>
    <sheet name="Beräkning överskottsel" sheetId="24" state="hidden" r:id="rId12"/>
  </sheets>
  <externalReferences>
    <externalReference r:id="rId13"/>
    <externalReference r:id="rId14"/>
  </externalReferences>
  <definedNames>
    <definedName name="_ftn1" localSheetId="2">'Instruktioner (börja här)'!$B$15</definedName>
    <definedName name="_ftnref1" localSheetId="2">'Instruktioner (börja här)'!$B$12</definedName>
    <definedName name="E_MFA_Asien" localSheetId="7">#REF!</definedName>
    <definedName name="E_MFA_Asien" localSheetId="9">#REF!</definedName>
    <definedName name="E_MFA_Asien" localSheetId="2">#REF!</definedName>
    <definedName name="E_MFA_Asien">#REF!</definedName>
    <definedName name="E_MFA_Brasilien" localSheetId="7">#REF!</definedName>
    <definedName name="E_MFA_Brasilien" localSheetId="9">#REF!</definedName>
    <definedName name="E_MFA_Brasilien" localSheetId="2">#REF!</definedName>
    <definedName name="E_MFA_Brasilien">#REF!</definedName>
    <definedName name="E_TOP_SVERIGE" localSheetId="7">#REF!</definedName>
    <definedName name="E_TOP_SVERIGE" localSheetId="9">#REF!</definedName>
    <definedName name="E_TOP_SVERIGE" localSheetId="2">#REF!</definedName>
    <definedName name="E_TOP_SVERIGE">#REF!</definedName>
    <definedName name="E_TOP_USA" localSheetId="2">'[1]Typmodell att kopiera upp'!$E$17</definedName>
    <definedName name="Koldioxid" localSheetId="9">[2]Indata!$B$36</definedName>
    <definedName name="Koldioxid" localSheetId="2">[1]Indata!$B$44</definedName>
    <definedName name="Koldioxid">Indata!$B$44</definedName>
    <definedName name="Lustgas" localSheetId="9">[2]Indata!$B$38</definedName>
    <definedName name="Lustgas" localSheetId="2">[1]Indata!$B$46</definedName>
    <definedName name="Lustgas">Indata!$B$46</definedName>
    <definedName name="Metan" localSheetId="9">[2]Indata!$B$37</definedName>
    <definedName name="Metan" localSheetId="2">[1]Indata!$B$45</definedName>
    <definedName name="Metan">Indata!$B$45</definedName>
    <definedName name="OLE_LINK1" localSheetId="2">'Instruktioner (börja här)'!$I$21</definedName>
  </definedNames>
  <calcPr calcId="145621"/>
</workbook>
</file>

<file path=xl/calcChain.xml><?xml version="1.0" encoding="utf-8"?>
<calcChain xmlns="http://schemas.openxmlformats.org/spreadsheetml/2006/main">
  <c r="E13" i="13" l="1"/>
  <c r="E12" i="13"/>
  <c r="E11" i="13"/>
  <c r="H143" i="13" l="1"/>
  <c r="N147" i="13" l="1"/>
  <c r="E6" i="21" l="1"/>
  <c r="H142" i="13" l="1"/>
  <c r="H144" i="13"/>
  <c r="B145" i="13"/>
  <c r="M146" i="13"/>
  <c r="M147" i="13"/>
  <c r="H168" i="13" l="1"/>
  <c r="H167" i="13"/>
  <c r="H166" i="13"/>
  <c r="N166" i="13" s="1"/>
  <c r="H159" i="13"/>
  <c r="H158" i="13"/>
  <c r="H157" i="13"/>
  <c r="H156" i="13"/>
  <c r="H155" i="13"/>
  <c r="H203" i="13"/>
  <c r="H202" i="13"/>
  <c r="H200" i="13"/>
  <c r="H190" i="13"/>
  <c r="H189" i="13"/>
  <c r="H188" i="13"/>
  <c r="H187" i="13"/>
  <c r="H186" i="13"/>
  <c r="H180" i="13"/>
  <c r="H179" i="13"/>
  <c r="H177" i="13"/>
  <c r="E5" i="13"/>
  <c r="H135" i="13"/>
  <c r="H122" i="13"/>
  <c r="C8" i="8" l="1"/>
  <c r="H124" i="13" l="1"/>
  <c r="C4" i="8" l="1"/>
  <c r="P46" i="23"/>
  <c r="R8" i="23"/>
  <c r="Q8" i="23"/>
  <c r="P8" i="23"/>
  <c r="D6" i="21" l="1"/>
  <c r="C6" i="21"/>
  <c r="H23" i="13"/>
  <c r="B92" i="13" l="1"/>
  <c r="B60" i="13"/>
  <c r="E9" i="13" l="1"/>
  <c r="B76" i="13"/>
  <c r="H104" i="13"/>
  <c r="H101" i="13"/>
  <c r="H73" i="13"/>
  <c r="H70" i="13"/>
  <c r="C149" i="22"/>
  <c r="C147" i="22"/>
  <c r="H54" i="13"/>
  <c r="H67" i="13"/>
  <c r="F9" i="13" s="1"/>
  <c r="B34" i="13"/>
  <c r="AH126" i="22"/>
  <c r="D43" i="13"/>
  <c r="D40" i="13"/>
  <c r="N95" i="13" l="1"/>
  <c r="E8" i="13" s="1"/>
  <c r="F5" i="13"/>
  <c r="F4" i="13"/>
  <c r="F7" i="13"/>
  <c r="N63" i="13"/>
  <c r="G54" i="13"/>
  <c r="N20" i="13"/>
  <c r="E54" i="13" l="1"/>
  <c r="B54" i="13"/>
  <c r="D49" i="13"/>
  <c r="I49" i="13" s="1"/>
  <c r="D38" i="13"/>
  <c r="I44" i="13"/>
  <c r="D47" i="13"/>
  <c r="G48" i="13" s="1"/>
  <c r="D46" i="13"/>
  <c r="G47" i="13" s="1"/>
  <c r="D45" i="13"/>
  <c r="G46" i="13" s="1"/>
  <c r="D44" i="13"/>
  <c r="H45" i="13" s="1"/>
  <c r="G43" i="13"/>
  <c r="I45" i="13" l="1"/>
  <c r="G45" i="13"/>
  <c r="H47" i="13"/>
  <c r="H44" i="13"/>
  <c r="I47" i="13"/>
  <c r="G44" i="13"/>
  <c r="H46" i="13"/>
  <c r="H48" i="13"/>
  <c r="I46" i="13"/>
  <c r="I48" i="13"/>
  <c r="O89" i="13"/>
  <c r="H37" i="13" l="1"/>
  <c r="H38" i="13"/>
  <c r="H36" i="13" l="1"/>
  <c r="N56" i="13" s="1"/>
  <c r="E4" i="13" s="1"/>
  <c r="AH129" i="22"/>
  <c r="AH128" i="22"/>
  <c r="AH127" i="22"/>
  <c r="D49" i="22"/>
  <c r="H79" i="13" l="1"/>
  <c r="H83" i="13" l="1"/>
  <c r="H86" i="13" s="1"/>
  <c r="N88" i="13" s="1"/>
  <c r="E7" i="13" s="1"/>
  <c r="E6" i="13" s="1"/>
  <c r="H88" i="13" l="1"/>
  <c r="P89" i="13" l="1"/>
  <c r="V30" i="22"/>
  <c r="N116" i="13" s="1"/>
  <c r="H123" i="13"/>
  <c r="N122" i="13" s="1"/>
  <c r="K64" i="23" l="1"/>
  <c r="P50" i="23"/>
  <c r="P48" i="23"/>
  <c r="U67" i="22"/>
  <c r="U66" i="22"/>
  <c r="U65" i="22"/>
  <c r="U64" i="22"/>
  <c r="U63" i="22"/>
  <c r="N142" i="13" s="1"/>
  <c r="N143" i="13" s="1"/>
  <c r="N144" i="13" s="1"/>
  <c r="U62" i="22"/>
  <c r="U61" i="22"/>
  <c r="U60" i="22"/>
  <c r="N51" i="22"/>
  <c r="M51" i="22"/>
  <c r="J51" i="22"/>
  <c r="I51" i="22"/>
  <c r="H51" i="22"/>
  <c r="G51" i="22"/>
  <c r="D39" i="22"/>
  <c r="C39" i="22"/>
  <c r="C37" i="22"/>
  <c r="C36" i="22"/>
  <c r="C35" i="22"/>
  <c r="AF34" i="22"/>
  <c r="AE34" i="22"/>
  <c r="AD34" i="22"/>
  <c r="N34" i="22"/>
  <c r="M34" i="22"/>
  <c r="C34" i="22"/>
  <c r="AF33" i="22"/>
  <c r="AE33" i="22"/>
  <c r="AD33" i="22"/>
  <c r="M33" i="22"/>
  <c r="C31" i="22"/>
  <c r="AF29" i="22"/>
  <c r="AE29" i="22"/>
  <c r="AD29" i="22"/>
  <c r="V28" i="22"/>
  <c r="C28" i="22"/>
  <c r="C27" i="22"/>
  <c r="V26" i="22"/>
  <c r="E82" i="2"/>
  <c r="C82" i="2"/>
  <c r="H81" i="2"/>
  <c r="H80" i="2"/>
  <c r="N79" i="2"/>
  <c r="N80" i="2" s="1"/>
  <c r="H79" i="2"/>
  <c r="H75" i="2"/>
  <c r="H73" i="2"/>
  <c r="H72" i="2"/>
  <c r="H63" i="2"/>
  <c r="H62" i="2"/>
  <c r="H61" i="2"/>
  <c r="N59" i="2" s="1"/>
  <c r="H60" i="2"/>
  <c r="H59" i="2"/>
  <c r="C42" i="2"/>
  <c r="C32" i="2"/>
  <c r="C30" i="2"/>
  <c r="C26" i="2"/>
  <c r="N21" i="2"/>
  <c r="O10" i="2"/>
  <c r="N32" i="8"/>
  <c r="N31" i="8"/>
  <c r="N30" i="8"/>
  <c r="C24" i="8"/>
  <c r="C23" i="8"/>
  <c r="C22" i="8"/>
  <c r="C21" i="8"/>
  <c r="C20" i="8"/>
  <c r="C19" i="8"/>
  <c r="C18" i="8"/>
  <c r="C9" i="8"/>
  <c r="C25" i="8" s="1"/>
  <c r="D37" i="8" s="1"/>
  <c r="C5" i="8"/>
  <c r="C28" i="8" s="1"/>
  <c r="C29" i="8" s="1"/>
  <c r="S82" i="5"/>
  <c r="S81" i="5"/>
  <c r="S80" i="5"/>
  <c r="S79" i="5"/>
  <c r="S78" i="5"/>
  <c r="S76" i="5"/>
  <c r="S75" i="5"/>
  <c r="S74" i="5"/>
  <c r="S73" i="5"/>
  <c r="S72" i="5"/>
  <c r="S70" i="5"/>
  <c r="S69" i="5"/>
  <c r="S68" i="5"/>
  <c r="S67" i="5"/>
  <c r="S66" i="5"/>
  <c r="U55" i="5"/>
  <c r="U54" i="5"/>
  <c r="U53" i="5"/>
  <c r="U52" i="5"/>
  <c r="U51" i="5"/>
  <c r="U50" i="5"/>
  <c r="U49" i="5"/>
  <c r="U48" i="5"/>
  <c r="N39" i="5"/>
  <c r="M39" i="5"/>
  <c r="J39" i="5"/>
  <c r="I39" i="5"/>
  <c r="H39" i="5"/>
  <c r="G39" i="5"/>
  <c r="C27" i="5"/>
  <c r="C25" i="5"/>
  <c r="C23" i="5"/>
  <c r="N86" i="2" s="1"/>
  <c r="V17" i="5"/>
  <c r="V15" i="5"/>
  <c r="N65" i="2" s="1"/>
  <c r="H136" i="13"/>
  <c r="H133" i="13"/>
  <c r="N117" i="13"/>
  <c r="H116" i="13"/>
  <c r="H115" i="13"/>
  <c r="H114" i="13"/>
  <c r="H113" i="13"/>
  <c r="N111" i="13" s="1"/>
  <c r="H112" i="13"/>
  <c r="H111" i="13"/>
  <c r="B27" i="13"/>
  <c r="E23" i="13"/>
  <c r="B6" i="21"/>
  <c r="I19" i="13"/>
  <c r="E10" i="13"/>
  <c r="E19" i="13" s="1"/>
  <c r="B7" i="9"/>
  <c r="B6" i="9"/>
  <c r="C10" i="8" s="1"/>
  <c r="B5" i="9"/>
  <c r="B4" i="9"/>
  <c r="B3" i="9"/>
  <c r="B2" i="9"/>
  <c r="L64" i="6"/>
  <c r="Q50" i="6"/>
  <c r="C20" i="5" s="1"/>
  <c r="Q48" i="6"/>
  <c r="C17" i="5" s="1"/>
  <c r="Q46" i="6"/>
  <c r="C16" i="5" s="1"/>
  <c r="S8" i="6"/>
  <c r="R8" i="6"/>
  <c r="C24" i="5" s="1"/>
  <c r="Q8" i="6"/>
  <c r="O11" i="13" l="1"/>
  <c r="F6" i="21"/>
  <c r="N146" i="13"/>
  <c r="N148" i="13" s="1"/>
  <c r="P148" i="13" s="1"/>
  <c r="N167" i="13"/>
  <c r="N168" i="13" s="1"/>
  <c r="N170" i="13" s="1"/>
  <c r="P170" i="13" s="1"/>
  <c r="N160" i="13"/>
  <c r="N192" i="13"/>
  <c r="N161" i="13"/>
  <c r="N163" i="13" s="1"/>
  <c r="H160" i="13"/>
  <c r="N191" i="13"/>
  <c r="N186" i="13"/>
  <c r="H191" i="13"/>
  <c r="N155" i="13"/>
  <c r="N81" i="2"/>
  <c r="N84" i="2" s="1"/>
  <c r="N89" i="2" s="1"/>
  <c r="K15" i="2" s="1"/>
  <c r="C27" i="8"/>
  <c r="T70" i="5" s="1"/>
  <c r="C26" i="8"/>
  <c r="V34" i="22"/>
  <c r="N119" i="13"/>
  <c r="N123" i="13"/>
  <c r="N124" i="13" s="1"/>
  <c r="N126" i="13" s="1"/>
  <c r="V29" i="22"/>
  <c r="V33" i="22"/>
  <c r="K60" i="2"/>
  <c r="N64" i="2"/>
  <c r="N67" i="2" s="1"/>
  <c r="T68" i="5" l="1"/>
  <c r="E14" i="13"/>
  <c r="N194" i="13"/>
  <c r="P194" i="13" s="1"/>
  <c r="P163" i="13"/>
  <c r="T69" i="5"/>
  <c r="P89" i="2"/>
  <c r="T66" i="5"/>
  <c r="H38" i="8"/>
  <c r="D38" i="8"/>
  <c r="K38" i="8" s="1"/>
  <c r="C87" i="22" s="1"/>
  <c r="G38" i="8"/>
  <c r="E38" i="8"/>
  <c r="L38" i="8" s="1"/>
  <c r="F38" i="8"/>
  <c r="M38" i="8" s="1"/>
  <c r="E37" i="8"/>
  <c r="L37" i="8" s="1"/>
  <c r="H37" i="8"/>
  <c r="O37" i="8" s="1"/>
  <c r="C73" i="5" s="1"/>
  <c r="F37" i="8"/>
  <c r="G37" i="8"/>
  <c r="N37" i="8" s="1"/>
  <c r="C72" i="5" s="1"/>
  <c r="H42" i="8"/>
  <c r="F42" i="8"/>
  <c r="M42" i="8" s="1"/>
  <c r="D42" i="8"/>
  <c r="G41" i="8"/>
  <c r="N41" i="8" s="1"/>
  <c r="E41" i="8"/>
  <c r="F40" i="8"/>
  <c r="M40" i="8" s="1"/>
  <c r="G39" i="8"/>
  <c r="N39" i="8" s="1"/>
  <c r="C68" i="5" s="1"/>
  <c r="G42" i="8"/>
  <c r="N42" i="8" s="1"/>
  <c r="E42" i="8"/>
  <c r="L42" i="8" s="1"/>
  <c r="H41" i="8"/>
  <c r="O41" i="8" s="1"/>
  <c r="F41" i="8"/>
  <c r="M41" i="8" s="1"/>
  <c r="D41" i="8"/>
  <c r="K41" i="8" s="1"/>
  <c r="G40" i="8"/>
  <c r="N40" i="8" s="1"/>
  <c r="E40" i="8"/>
  <c r="L40" i="8" s="1"/>
  <c r="H39" i="8"/>
  <c r="O39" i="8" s="1"/>
  <c r="C67" i="5" s="1"/>
  <c r="F39" i="8"/>
  <c r="M39" i="8" s="1"/>
  <c r="D39" i="8"/>
  <c r="K39" i="8" s="1"/>
  <c r="C75" i="22" s="1"/>
  <c r="H40" i="8"/>
  <c r="O40" i="8" s="1"/>
  <c r="D40" i="8"/>
  <c r="K40" i="8" s="1"/>
  <c r="E39" i="8"/>
  <c r="L39" i="8" s="1"/>
  <c r="M37" i="8"/>
  <c r="T67" i="5"/>
  <c r="K37" i="8"/>
  <c r="C81" i="22" s="1"/>
  <c r="N38" i="8"/>
  <c r="C80" i="5" s="1"/>
  <c r="O38" i="8"/>
  <c r="C79" i="5" s="1"/>
  <c r="O42" i="8"/>
  <c r="K42" i="8"/>
  <c r="L41" i="8"/>
  <c r="C30" i="8"/>
  <c r="C31" i="8" s="1"/>
  <c r="P126" i="13"/>
  <c r="P119" i="13"/>
  <c r="P67" i="2"/>
  <c r="K14" i="2"/>
  <c r="C78" i="5" l="1"/>
  <c r="C66" i="5"/>
  <c r="C74" i="5"/>
  <c r="N75" i="2" s="1"/>
  <c r="N76" i="2" s="1"/>
  <c r="K13" i="2" s="1"/>
  <c r="K17" i="2" s="1"/>
  <c r="O12" i="2" s="1"/>
  <c r="C74" i="22"/>
  <c r="C76" i="22"/>
  <c r="C95" i="22"/>
  <c r="C87" i="5"/>
  <c r="C70" i="5"/>
  <c r="C78" i="22"/>
  <c r="C94" i="22"/>
  <c r="C86" i="5"/>
  <c r="C86" i="22"/>
  <c r="N136" i="13" s="1"/>
  <c r="C88" i="22"/>
  <c r="C92" i="22"/>
  <c r="C93" i="22"/>
  <c r="C84" i="5"/>
  <c r="C85" i="5"/>
  <c r="C69" i="5"/>
  <c r="C77" i="22"/>
  <c r="C82" i="5"/>
  <c r="C90" i="22"/>
  <c r="C81" i="5"/>
  <c r="C89" i="22"/>
  <c r="C75" i="5"/>
  <c r="C83" i="22"/>
  <c r="C76" i="5"/>
  <c r="C84" i="22"/>
  <c r="C80" i="22"/>
  <c r="C82" i="22"/>
  <c r="N180" i="13" l="1"/>
  <c r="N181" i="13" s="1"/>
  <c r="P181" i="13" s="1"/>
  <c r="N203" i="13"/>
  <c r="N204" i="13" s="1"/>
  <c r="P204" i="13" s="1"/>
  <c r="P76" i="2"/>
  <c r="N137" i="13"/>
  <c r="P137" i="13" l="1"/>
  <c r="G6" i="21" l="1"/>
</calcChain>
</file>

<file path=xl/comments1.xml><?xml version="1.0" encoding="utf-8"?>
<comments xmlns="http://schemas.openxmlformats.org/spreadsheetml/2006/main">
  <authors>
    <author>Jonas Höglund</author>
    <author>Fredrik Martinsson</author>
  </authors>
  <commentList>
    <comment ref="S8" authorId="0">
      <text>
        <r>
          <rPr>
            <b/>
            <sz val="8"/>
            <color indexed="81"/>
            <rFont val="Tahoma"/>
            <family val="2"/>
          </rPr>
          <t>Jonas Höglund:</t>
        </r>
        <r>
          <rPr>
            <sz val="8"/>
            <color indexed="81"/>
            <rFont val="Tahoma"/>
            <family val="2"/>
          </rPr>
          <t xml:space="preserve">
OBS ingen användningsdata i LNG N2O</t>
        </r>
      </text>
    </comment>
    <comment ref="K11" authorId="1">
      <text>
        <r>
          <rPr>
            <b/>
            <sz val="8"/>
            <color indexed="81"/>
            <rFont val="Tahoma"/>
            <family val="2"/>
          </rPr>
          <t>Fredrik Martinsson:</t>
        </r>
        <r>
          <rPr>
            <sz val="8"/>
            <color indexed="81"/>
            <rFont val="Tahoma"/>
            <family val="2"/>
          </rPr>
          <t xml:space="preserve">
Ej primärenergi</t>
        </r>
      </text>
    </comment>
  </commentList>
</comments>
</file>

<file path=xl/comments2.xml><?xml version="1.0" encoding="utf-8"?>
<comments xmlns="http://schemas.openxmlformats.org/spreadsheetml/2006/main">
  <authors>
    <author>Jonas Höglund</author>
    <author>Fredrik Martinsson</author>
  </authors>
  <commentList>
    <comment ref="AB3" authorId="0">
      <text>
        <r>
          <rPr>
            <b/>
            <sz val="8"/>
            <color indexed="81"/>
            <rFont val="Tahoma"/>
            <family val="2"/>
          </rPr>
          <t>Jonas Höglund:</t>
        </r>
        <r>
          <rPr>
            <sz val="8"/>
            <color indexed="81"/>
            <rFont val="Tahoma"/>
            <family val="2"/>
          </rPr>
          <t xml:space="preserve">
Direct + indirect emissions</t>
        </r>
      </text>
    </comment>
    <comment ref="Z14" authorId="0">
      <text>
        <r>
          <rPr>
            <b/>
            <sz val="8"/>
            <color indexed="81"/>
            <rFont val="Tahoma"/>
            <family val="2"/>
          </rPr>
          <t>Jonas Höglund:</t>
        </r>
        <r>
          <rPr>
            <sz val="8"/>
            <color indexed="81"/>
            <rFont val="Tahoma"/>
            <family val="2"/>
          </rPr>
          <t xml:space="preserve">
g CO2/MJ, prod+användning
</t>
        </r>
      </text>
    </comment>
    <comment ref="V16" authorId="0">
      <text>
        <r>
          <rPr>
            <b/>
            <sz val="8"/>
            <color indexed="81"/>
            <rFont val="Tahoma"/>
            <family val="2"/>
          </rPr>
          <t>Jonas Höglund:</t>
        </r>
        <r>
          <rPr>
            <sz val="8"/>
            <color indexed="81"/>
            <rFont val="Tahoma"/>
            <family val="2"/>
          </rPr>
          <t xml:space="preserve">
</t>
        </r>
      </text>
    </comment>
    <comment ref="C18" authorId="0">
      <text>
        <r>
          <rPr>
            <b/>
            <sz val="8"/>
            <color indexed="81"/>
            <rFont val="Tahoma"/>
            <family val="2"/>
          </rPr>
          <t>Jonas Höglund:</t>
        </r>
        <r>
          <rPr>
            <sz val="8"/>
            <color indexed="81"/>
            <rFont val="Tahoma"/>
            <family val="2"/>
          </rPr>
          <t xml:space="preserve">
OBS! Endast produktion och distribution enl MFB</t>
        </r>
      </text>
    </comment>
    <comment ref="C27" authorId="0">
      <text>
        <r>
          <rPr>
            <b/>
            <sz val="8"/>
            <color indexed="81"/>
            <rFont val="Tahoma"/>
            <family val="2"/>
          </rPr>
          <t>Jonas Höglund:</t>
        </r>
        <r>
          <rPr>
            <sz val="8"/>
            <color indexed="81"/>
            <rFont val="Tahoma"/>
            <family val="2"/>
          </rPr>
          <t xml:space="preserve">
Restriktivt värde: 10% högre än HFO.</t>
        </r>
      </text>
    </comment>
    <comment ref="C28" authorId="1">
      <text>
        <r>
          <rPr>
            <b/>
            <sz val="8"/>
            <color indexed="81"/>
            <rFont val="Tahoma"/>
            <family val="2"/>
          </rPr>
          <t>Fredrik Martinsson:</t>
        </r>
        <r>
          <rPr>
            <sz val="8"/>
            <color indexed="81"/>
            <rFont val="Tahoma"/>
            <family val="2"/>
          </rPr>
          <t xml:space="preserve">
Publicrade värden på Svensk Fjärrvärmes hemsida för år 2009</t>
        </r>
      </text>
    </comment>
    <comment ref="I39" authorId="0">
      <text>
        <r>
          <rPr>
            <b/>
            <sz val="8"/>
            <color indexed="81"/>
            <rFont val="Tahoma"/>
            <family val="2"/>
          </rPr>
          <t>Jonas Höglund:</t>
        </r>
        <r>
          <rPr>
            <sz val="8"/>
            <color indexed="81"/>
            <rFont val="Tahoma"/>
            <family val="2"/>
          </rPr>
          <t xml:space="preserve">
Restriktivt värde = 40 % högre än genomsnittet, dvs törstigare fordon
</t>
        </r>
      </text>
    </comment>
    <comment ref="J39" authorId="0">
      <text>
        <r>
          <rPr>
            <b/>
            <sz val="8"/>
            <color indexed="81"/>
            <rFont val="Tahoma"/>
            <family val="2"/>
          </rPr>
          <t>Jonas Höglund:</t>
        </r>
        <r>
          <rPr>
            <sz val="8"/>
            <color indexed="81"/>
            <rFont val="Tahoma"/>
            <family val="2"/>
          </rPr>
          <t xml:space="preserve">
Restriktivt värde = 40 % högre än genomsnittet, dvs törstigare fordon</t>
        </r>
      </text>
    </comment>
    <comment ref="A65" authorId="1">
      <text>
        <r>
          <rPr>
            <b/>
            <sz val="8"/>
            <color indexed="81"/>
            <rFont val="Tahoma"/>
            <family val="2"/>
          </rPr>
          <t>Fredrik Martinsson:</t>
        </r>
        <r>
          <rPr>
            <sz val="8"/>
            <color indexed="81"/>
            <rFont val="Tahoma"/>
            <family val="2"/>
          </rPr>
          <t xml:space="preserve">
Default
U värde 0,3
4 grader ute
40 grader lagring
150 kubiks tank</t>
        </r>
      </text>
    </comment>
    <comment ref="A71" authorId="1">
      <text>
        <r>
          <rPr>
            <b/>
            <sz val="8"/>
            <color indexed="81"/>
            <rFont val="Tahoma"/>
            <family val="2"/>
          </rPr>
          <t>Fredrik Martinsson:</t>
        </r>
        <r>
          <rPr>
            <sz val="8"/>
            <color indexed="81"/>
            <rFont val="Tahoma"/>
            <family val="2"/>
          </rPr>
          <t xml:space="preserve">
Default
U värde 0,3
4 grader ute
40 grader lagring
50 kubiks tank</t>
        </r>
      </text>
    </comment>
    <comment ref="A77" authorId="1">
      <text>
        <r>
          <rPr>
            <b/>
            <sz val="8"/>
            <color indexed="81"/>
            <rFont val="Tahoma"/>
            <family val="2"/>
          </rPr>
          <t>Fredrik Martinsson:</t>
        </r>
        <r>
          <rPr>
            <sz val="8"/>
            <color indexed="81"/>
            <rFont val="Tahoma"/>
            <family val="2"/>
          </rPr>
          <t xml:space="preserve">
Default
U värde 0,3
4 grader ute
40 grader lagring
50 kubiks tank</t>
        </r>
      </text>
    </comment>
    <comment ref="B83" authorId="1">
      <text>
        <r>
          <rPr>
            <b/>
            <sz val="8"/>
            <color indexed="81"/>
            <rFont val="Tahoma"/>
            <family val="2"/>
          </rPr>
          <t>Fredrik Martinsson:</t>
        </r>
        <r>
          <rPr>
            <sz val="8"/>
            <color indexed="81"/>
            <rFont val="Tahoma"/>
            <family val="2"/>
          </rPr>
          <t xml:space="preserve">
Default
U värde 0,3
4 grader ute
40 grader lagring
150 kubiks tank</t>
        </r>
      </text>
    </comment>
    <comment ref="A101" authorId="0">
      <text>
        <r>
          <rPr>
            <b/>
            <sz val="8"/>
            <color indexed="81"/>
            <rFont val="Tahoma"/>
            <family val="2"/>
          </rPr>
          <t>Jonas Höglund:</t>
        </r>
        <r>
          <rPr>
            <sz val="8"/>
            <color indexed="81"/>
            <rFont val="Tahoma"/>
            <family val="2"/>
          </rPr>
          <t xml:space="preserve">
Biooljor från restauranger innehållande animaliska produkter är avfallsklassade och får endast förbrännas i avfallsklassade anl.</t>
        </r>
      </text>
    </comment>
    <comment ref="C103" authorId="0">
      <text>
        <r>
          <rPr>
            <b/>
            <sz val="8"/>
            <color indexed="81"/>
            <rFont val="Tahoma"/>
            <family val="2"/>
          </rPr>
          <t>Jonas Höglund:</t>
        </r>
        <r>
          <rPr>
            <sz val="8"/>
            <color indexed="81"/>
            <rFont val="Tahoma"/>
            <family val="2"/>
          </rPr>
          <t xml:space="preserve">
STEMFS delnormalvärde
</t>
        </r>
      </text>
    </comment>
    <comment ref="AC103" authorId="0">
      <text>
        <r>
          <rPr>
            <b/>
            <sz val="8"/>
            <color indexed="81"/>
            <rFont val="Tahoma"/>
            <family val="2"/>
          </rPr>
          <t>Jonas Höglund:</t>
        </r>
        <r>
          <rPr>
            <sz val="8"/>
            <color indexed="81"/>
            <rFont val="Tahoma"/>
            <family val="2"/>
          </rPr>
          <t xml:space="preserve">
delnormalvärde STEMFS, "processen inte specificerad", dvs restriktivt värde!</t>
        </r>
      </text>
    </comment>
    <comment ref="C104" authorId="0">
      <text>
        <r>
          <rPr>
            <b/>
            <sz val="8"/>
            <color indexed="81"/>
            <rFont val="Tahoma"/>
            <family val="2"/>
          </rPr>
          <t>Jonas Höglund:</t>
        </r>
        <r>
          <rPr>
            <sz val="8"/>
            <color indexed="81"/>
            <rFont val="Tahoma"/>
            <family val="2"/>
          </rPr>
          <t xml:space="preserve">
Snittvärde för odling av raps.</t>
        </r>
      </text>
    </comment>
    <comment ref="AC104" authorId="0">
      <text>
        <r>
          <rPr>
            <b/>
            <sz val="8"/>
            <color indexed="81"/>
            <rFont val="Tahoma"/>
            <family val="2"/>
          </rPr>
          <t>Jonas Höglund:</t>
        </r>
        <r>
          <rPr>
            <sz val="8"/>
            <color indexed="81"/>
            <rFont val="Tahoma"/>
            <family val="2"/>
          </rPr>
          <t xml:space="preserve">
delnormalvärde STEMFS</t>
        </r>
      </text>
    </comment>
    <comment ref="C105" authorId="0">
      <text>
        <r>
          <rPr>
            <b/>
            <sz val="8"/>
            <color indexed="81"/>
            <rFont val="Tahoma"/>
            <family val="2"/>
          </rPr>
          <t>Jonas Höglund:</t>
        </r>
        <r>
          <rPr>
            <sz val="8"/>
            <color indexed="81"/>
            <rFont val="Tahoma"/>
            <family val="2"/>
          </rPr>
          <t xml:space="preserve">
STEMFS delnormalvärde</t>
        </r>
      </text>
    </comment>
    <comment ref="AC105" authorId="0">
      <text>
        <r>
          <rPr>
            <b/>
            <sz val="8"/>
            <color indexed="81"/>
            <rFont val="Tahoma"/>
            <family val="2"/>
          </rPr>
          <t>Jonas Höglund:</t>
        </r>
        <r>
          <rPr>
            <sz val="8"/>
            <color indexed="81"/>
            <rFont val="Tahoma"/>
            <family val="2"/>
          </rPr>
          <t xml:space="preserve">
delnormalvärde STEMFS</t>
        </r>
      </text>
    </comment>
    <comment ref="C106" authorId="0">
      <text>
        <r>
          <rPr>
            <b/>
            <sz val="8"/>
            <color indexed="81"/>
            <rFont val="Tahoma"/>
            <family val="2"/>
          </rPr>
          <t>Jonas Höglund:</t>
        </r>
        <r>
          <rPr>
            <sz val="8"/>
            <color indexed="81"/>
            <rFont val="Tahoma"/>
            <family val="2"/>
          </rPr>
          <t xml:space="preserve">
STEMFS delnormalvärde
</t>
        </r>
      </text>
    </comment>
    <comment ref="AC106" authorId="0">
      <text>
        <r>
          <rPr>
            <b/>
            <sz val="8"/>
            <color indexed="81"/>
            <rFont val="Tahoma"/>
            <family val="2"/>
          </rPr>
          <t>Jonas Höglund:</t>
        </r>
        <r>
          <rPr>
            <sz val="8"/>
            <color indexed="81"/>
            <rFont val="Tahoma"/>
            <family val="2"/>
          </rPr>
          <t xml:space="preserve">
delnormalvärde STEMFS</t>
        </r>
      </text>
    </comment>
    <comment ref="Z123" authorId="0">
      <text>
        <r>
          <rPr>
            <b/>
            <sz val="8"/>
            <color indexed="81"/>
            <rFont val="Tahoma"/>
            <family val="2"/>
          </rPr>
          <t>Jonas Höglund:</t>
        </r>
        <r>
          <rPr>
            <sz val="8"/>
            <color indexed="81"/>
            <rFont val="Tahoma"/>
            <family val="2"/>
          </rPr>
          <t xml:space="preserve">
MJ /ha, år</t>
        </r>
      </text>
    </comment>
    <comment ref="Z130" authorId="0">
      <text>
        <r>
          <rPr>
            <b/>
            <sz val="8"/>
            <color indexed="81"/>
            <rFont val="Tahoma"/>
            <family val="2"/>
          </rPr>
          <t>Jonas Höglund:</t>
        </r>
        <r>
          <rPr>
            <sz val="8"/>
            <color indexed="81"/>
            <rFont val="Tahoma"/>
            <family val="2"/>
          </rPr>
          <t xml:space="preserve">
CO2eq/MJ</t>
        </r>
      </text>
    </comment>
    <comment ref="Z131" authorId="0">
      <text>
        <r>
          <rPr>
            <b/>
            <sz val="8"/>
            <color indexed="81"/>
            <rFont val="Tahoma"/>
            <family val="2"/>
          </rPr>
          <t>Jonas Höglund:</t>
        </r>
        <r>
          <rPr>
            <sz val="8"/>
            <color indexed="81"/>
            <rFont val="Tahoma"/>
            <family val="2"/>
          </rPr>
          <t xml:space="preserve">
CO2eq/MJ</t>
        </r>
      </text>
    </comment>
    <comment ref="Z132" authorId="0">
      <text>
        <r>
          <rPr>
            <b/>
            <sz val="8"/>
            <color indexed="81"/>
            <rFont val="Tahoma"/>
            <family val="2"/>
          </rPr>
          <t>Jonas Höglund:</t>
        </r>
        <r>
          <rPr>
            <sz val="8"/>
            <color indexed="81"/>
            <rFont val="Tahoma"/>
            <family val="2"/>
          </rPr>
          <t xml:space="preserve">
CO2eq/MJ</t>
        </r>
      </text>
    </comment>
    <comment ref="Z133" authorId="0">
      <text>
        <r>
          <rPr>
            <b/>
            <sz val="8"/>
            <color indexed="81"/>
            <rFont val="Tahoma"/>
            <family val="2"/>
          </rPr>
          <t>Jonas Höglund:</t>
        </r>
        <r>
          <rPr>
            <sz val="8"/>
            <color indexed="81"/>
            <rFont val="Tahoma"/>
            <family val="2"/>
          </rPr>
          <t xml:space="preserve">
CO2eq/MJ</t>
        </r>
      </text>
    </comment>
  </commentList>
</comments>
</file>

<file path=xl/comments3.xml><?xml version="1.0" encoding="utf-8"?>
<comments xmlns="http://schemas.openxmlformats.org/spreadsheetml/2006/main">
  <authors>
    <author>Jonas Höglund</author>
  </authors>
  <commentList>
    <comment ref="N89" authorId="0">
      <text>
        <r>
          <rPr>
            <b/>
            <sz val="8"/>
            <color indexed="81"/>
            <rFont val="Tahoma"/>
            <family val="2"/>
          </rPr>
          <t>Jonas Höglund:</t>
        </r>
        <r>
          <rPr>
            <sz val="8"/>
            <color indexed="81"/>
            <rFont val="Tahoma"/>
            <family val="2"/>
          </rPr>
          <t xml:space="preserve">
Om man väljer "ingen omlastning" här ska sträckan vara direkt till Sverige, detta kan ev fixas.</t>
        </r>
      </text>
    </comment>
  </commentList>
</comments>
</file>

<file path=xl/comments4.xml><?xml version="1.0" encoding="utf-8"?>
<comments xmlns="http://schemas.openxmlformats.org/spreadsheetml/2006/main">
  <authors>
    <author>Fredrik Martinsson</author>
    <author>Jonas Höglund</author>
  </authors>
  <commentList>
    <comment ref="C3" authorId="0">
      <text>
        <r>
          <rPr>
            <b/>
            <sz val="8"/>
            <color indexed="81"/>
            <rFont val="Tahoma"/>
            <family val="2"/>
          </rPr>
          <t>Fredrik Martinsson:</t>
        </r>
        <r>
          <rPr>
            <sz val="8"/>
            <color indexed="81"/>
            <rFont val="Tahoma"/>
            <family val="2"/>
          </rPr>
          <t xml:space="preserve">
Förbränning och uppströms emissoner</t>
        </r>
      </text>
    </comment>
    <comment ref="AB3" authorId="1">
      <text>
        <r>
          <rPr>
            <b/>
            <sz val="8"/>
            <color indexed="81"/>
            <rFont val="Tahoma"/>
            <family val="2"/>
          </rPr>
          <t>Jonas Höglund:</t>
        </r>
        <r>
          <rPr>
            <sz val="8"/>
            <color indexed="81"/>
            <rFont val="Tahoma"/>
            <family val="2"/>
          </rPr>
          <t xml:space="preserve">
Direct + indirect emissions</t>
        </r>
      </text>
    </comment>
    <comment ref="AG3" authorId="1">
      <text>
        <r>
          <rPr>
            <b/>
            <sz val="8"/>
            <color indexed="81"/>
            <rFont val="Tahoma"/>
            <family val="2"/>
          </rPr>
          <t>Jonas Höglund:</t>
        </r>
        <r>
          <rPr>
            <sz val="8"/>
            <color indexed="81"/>
            <rFont val="Tahoma"/>
            <family val="2"/>
          </rPr>
          <t xml:space="preserve">
Bearbetning, ep-eee</t>
        </r>
      </text>
    </comment>
    <comment ref="Z25" authorId="1">
      <text>
        <r>
          <rPr>
            <b/>
            <sz val="8"/>
            <color indexed="81"/>
            <rFont val="Tahoma"/>
            <family val="2"/>
          </rPr>
          <t>Jonas Höglund:</t>
        </r>
        <r>
          <rPr>
            <sz val="8"/>
            <color indexed="81"/>
            <rFont val="Tahoma"/>
            <family val="2"/>
          </rPr>
          <t xml:space="preserve">
g CO2/MJ, prod+användning
</t>
        </r>
      </text>
    </comment>
    <comment ref="B34" authorId="0">
      <text>
        <r>
          <rPr>
            <b/>
            <sz val="8"/>
            <color indexed="81"/>
            <rFont val="Tahoma"/>
            <family val="2"/>
          </rPr>
          <t>Fredrik Martinsson:</t>
        </r>
        <r>
          <rPr>
            <sz val="8"/>
            <color indexed="81"/>
            <rFont val="Tahoma"/>
            <family val="2"/>
          </rPr>
          <t xml:space="preserve">
Biogasen kommer från till 57 %avloppsreningsslam.13 från slaktavfall, 15 % matavfall</t>
        </r>
      </text>
    </comment>
    <comment ref="E34" authorId="0">
      <text>
        <r>
          <rPr>
            <b/>
            <sz val="8"/>
            <color indexed="81"/>
            <rFont val="Tahoma"/>
            <family val="2"/>
          </rPr>
          <t>Fredrik Martinsson:</t>
        </r>
        <r>
          <rPr>
            <sz val="8"/>
            <color indexed="81"/>
            <rFont val="Tahoma"/>
            <family val="2"/>
          </rPr>
          <t xml:space="preserve">
Per Nm^3</t>
        </r>
      </text>
    </comment>
    <comment ref="M34" authorId="0">
      <text>
        <r>
          <rPr>
            <b/>
            <sz val="8"/>
            <color indexed="81"/>
            <rFont val="Tahoma"/>
            <family val="2"/>
          </rPr>
          <t>Fredrik Martinsson:</t>
        </r>
        <r>
          <rPr>
            <sz val="8"/>
            <color indexed="81"/>
            <rFont val="Tahoma"/>
            <family val="2"/>
          </rPr>
          <t xml:space="preserve">
Per Nm^3</t>
        </r>
      </text>
    </comment>
    <comment ref="N34" authorId="0">
      <text>
        <r>
          <rPr>
            <b/>
            <sz val="8"/>
            <color indexed="81"/>
            <rFont val="Tahoma"/>
            <family val="2"/>
          </rPr>
          <t>Fredrik Martinsson:</t>
        </r>
        <r>
          <rPr>
            <sz val="8"/>
            <color indexed="81"/>
            <rFont val="Tahoma"/>
            <family val="2"/>
          </rPr>
          <t xml:space="preserve">
Per Nm^3</t>
        </r>
      </text>
    </comment>
    <comment ref="V34" authorId="0">
      <text>
        <r>
          <rPr>
            <b/>
            <sz val="8"/>
            <color indexed="81"/>
            <rFont val="Tahoma"/>
            <family val="2"/>
          </rPr>
          <t>Fredrik Martinsson:</t>
        </r>
        <r>
          <rPr>
            <sz val="8"/>
            <color indexed="81"/>
            <rFont val="Tahoma"/>
            <family val="2"/>
          </rPr>
          <t xml:space="preserve">
Per Nm^3</t>
        </r>
      </text>
    </comment>
    <comment ref="AD34" authorId="0">
      <text>
        <r>
          <rPr>
            <b/>
            <sz val="8"/>
            <color indexed="81"/>
            <rFont val="Tahoma"/>
            <family val="2"/>
          </rPr>
          <t>Fredrik Martinsson:</t>
        </r>
        <r>
          <rPr>
            <sz val="8"/>
            <color indexed="81"/>
            <rFont val="Tahoma"/>
            <family val="2"/>
          </rPr>
          <t xml:space="preserve">
Per Nm^3</t>
        </r>
      </text>
    </comment>
    <comment ref="AE34" authorId="0">
      <text>
        <r>
          <rPr>
            <b/>
            <sz val="8"/>
            <color indexed="81"/>
            <rFont val="Tahoma"/>
            <family val="2"/>
          </rPr>
          <t>Fredrik Martinsson:</t>
        </r>
        <r>
          <rPr>
            <sz val="8"/>
            <color indexed="81"/>
            <rFont val="Tahoma"/>
            <family val="2"/>
          </rPr>
          <t xml:space="preserve">
Per Nm^3</t>
        </r>
      </text>
    </comment>
    <comment ref="AF34" authorId="0">
      <text>
        <r>
          <rPr>
            <b/>
            <sz val="8"/>
            <color indexed="81"/>
            <rFont val="Tahoma"/>
            <family val="2"/>
          </rPr>
          <t>Fredrik Martinsson:</t>
        </r>
        <r>
          <rPr>
            <sz val="8"/>
            <color indexed="81"/>
            <rFont val="Tahoma"/>
            <family val="2"/>
          </rPr>
          <t xml:space="preserve">
Per Nm^3</t>
        </r>
      </text>
    </comment>
    <comment ref="C39" authorId="1">
      <text>
        <r>
          <rPr>
            <b/>
            <sz val="8"/>
            <color indexed="81"/>
            <rFont val="Tahoma"/>
            <family val="2"/>
          </rPr>
          <t>Jonas Höglund:</t>
        </r>
        <r>
          <rPr>
            <sz val="8"/>
            <color indexed="81"/>
            <rFont val="Tahoma"/>
            <family val="2"/>
          </rPr>
          <t xml:space="preserve">
Restriktivt värde: 10% högre än HFO.</t>
        </r>
      </text>
    </comment>
    <comment ref="D39" authorId="0">
      <text>
        <r>
          <rPr>
            <b/>
            <sz val="8"/>
            <color indexed="81"/>
            <rFont val="Tahoma"/>
            <family val="2"/>
          </rPr>
          <t>Fredrik Martinsson:</t>
        </r>
        <r>
          <rPr>
            <sz val="8"/>
            <color indexed="81"/>
            <rFont val="Tahoma"/>
            <family val="2"/>
          </rPr>
          <t xml:space="preserve">
Medelvärde</t>
        </r>
      </text>
    </comment>
    <comment ref="C40" authorId="0">
      <text>
        <r>
          <rPr>
            <b/>
            <sz val="8"/>
            <color indexed="81"/>
            <rFont val="Tahoma"/>
            <family val="2"/>
          </rPr>
          <t>Fredrik Martinsson:</t>
        </r>
        <r>
          <rPr>
            <sz val="8"/>
            <color indexed="81"/>
            <rFont val="Tahoma"/>
            <family val="2"/>
          </rPr>
          <t xml:space="preserve">
Publicrade värden på Svensk Fjärrvärmes hemsida för år 2009</t>
        </r>
      </text>
    </comment>
    <comment ref="A73" authorId="0">
      <text>
        <r>
          <rPr>
            <b/>
            <sz val="8"/>
            <color indexed="81"/>
            <rFont val="Tahoma"/>
            <family val="2"/>
          </rPr>
          <t>Fredrik Martinsson:</t>
        </r>
        <r>
          <rPr>
            <sz val="8"/>
            <color indexed="81"/>
            <rFont val="Tahoma"/>
            <family val="2"/>
          </rPr>
          <t xml:space="preserve">
Default
U värde 0,3
4 grader ute
40 grader lagring
150 kubiks tank</t>
        </r>
      </text>
    </comment>
    <comment ref="A79" authorId="0">
      <text>
        <r>
          <rPr>
            <b/>
            <sz val="8"/>
            <color indexed="81"/>
            <rFont val="Tahoma"/>
            <family val="2"/>
          </rPr>
          <t>Fredrik Martinsson:</t>
        </r>
        <r>
          <rPr>
            <sz val="8"/>
            <color indexed="81"/>
            <rFont val="Tahoma"/>
            <family val="2"/>
          </rPr>
          <t xml:space="preserve">
Default
U värde 0,3
4 grader ute
40 grader lagring
50 kubiks tank</t>
        </r>
      </text>
    </comment>
    <comment ref="A85" authorId="0">
      <text>
        <r>
          <rPr>
            <b/>
            <sz val="8"/>
            <color indexed="81"/>
            <rFont val="Tahoma"/>
            <family val="2"/>
          </rPr>
          <t>Fredrik Martinsson:</t>
        </r>
        <r>
          <rPr>
            <sz val="8"/>
            <color indexed="81"/>
            <rFont val="Tahoma"/>
            <family val="2"/>
          </rPr>
          <t xml:space="preserve">
Default
U värde 0,3
4 grader ute
40 grader lagring
50 kubiks tank</t>
        </r>
      </text>
    </comment>
    <comment ref="B91" authorId="0">
      <text>
        <r>
          <rPr>
            <b/>
            <sz val="8"/>
            <color indexed="81"/>
            <rFont val="Tahoma"/>
            <family val="2"/>
          </rPr>
          <t>Fredrik Martinsson:</t>
        </r>
        <r>
          <rPr>
            <sz val="8"/>
            <color indexed="81"/>
            <rFont val="Tahoma"/>
            <family val="2"/>
          </rPr>
          <t xml:space="preserve">
Default
U värde 0,3
4 grader ute
40 grader lagring
150 kubiks tank</t>
        </r>
      </text>
    </comment>
    <comment ref="C106" authorId="1">
      <text>
        <r>
          <rPr>
            <b/>
            <sz val="8"/>
            <color indexed="81"/>
            <rFont val="Tahoma"/>
            <family val="2"/>
          </rPr>
          <t>Jonas Höglund:</t>
        </r>
        <r>
          <rPr>
            <sz val="8"/>
            <color indexed="81"/>
            <rFont val="Tahoma"/>
            <family val="2"/>
          </rPr>
          <t xml:space="preserve">
STEMFS delnormalvärde
</t>
        </r>
      </text>
    </comment>
    <comment ref="AG106" authorId="1">
      <text>
        <r>
          <rPr>
            <b/>
            <sz val="8"/>
            <color indexed="81"/>
            <rFont val="Tahoma"/>
            <family val="2"/>
          </rPr>
          <t>Jonas Höglund:</t>
        </r>
        <r>
          <rPr>
            <sz val="8"/>
            <color indexed="81"/>
            <rFont val="Tahoma"/>
            <family val="2"/>
          </rPr>
          <t xml:space="preserve">
delnormalvärde STEMFS, "processen inte specificerad", dvs restriktivt värde!</t>
        </r>
      </text>
    </comment>
    <comment ref="C107" authorId="1">
      <text>
        <r>
          <rPr>
            <b/>
            <sz val="8"/>
            <color indexed="81"/>
            <rFont val="Tahoma"/>
            <family val="2"/>
          </rPr>
          <t>Jonas Höglund:</t>
        </r>
        <r>
          <rPr>
            <sz val="8"/>
            <color indexed="81"/>
            <rFont val="Tahoma"/>
            <family val="2"/>
          </rPr>
          <t xml:space="preserve">
Snittvärde för odling av raps.</t>
        </r>
      </text>
    </comment>
    <comment ref="AG107" authorId="1">
      <text>
        <r>
          <rPr>
            <b/>
            <sz val="8"/>
            <color indexed="81"/>
            <rFont val="Tahoma"/>
            <family val="2"/>
          </rPr>
          <t>Jonas Höglund:</t>
        </r>
        <r>
          <rPr>
            <sz val="8"/>
            <color indexed="81"/>
            <rFont val="Tahoma"/>
            <family val="2"/>
          </rPr>
          <t xml:space="preserve">
delnormalvärde STEMFS</t>
        </r>
      </text>
    </comment>
    <comment ref="C108" authorId="1">
      <text>
        <r>
          <rPr>
            <b/>
            <sz val="8"/>
            <color indexed="81"/>
            <rFont val="Tahoma"/>
            <family val="2"/>
          </rPr>
          <t>Jonas Höglund:</t>
        </r>
        <r>
          <rPr>
            <sz val="8"/>
            <color indexed="81"/>
            <rFont val="Tahoma"/>
            <family val="2"/>
          </rPr>
          <t xml:space="preserve">
STEMFS delnormalvärde</t>
        </r>
      </text>
    </comment>
    <comment ref="AG108" authorId="1">
      <text>
        <r>
          <rPr>
            <b/>
            <sz val="8"/>
            <color indexed="81"/>
            <rFont val="Tahoma"/>
            <family val="2"/>
          </rPr>
          <t>Jonas Höglund:</t>
        </r>
        <r>
          <rPr>
            <sz val="8"/>
            <color indexed="81"/>
            <rFont val="Tahoma"/>
            <family val="2"/>
          </rPr>
          <t xml:space="preserve">
delnormalvärde STEMFS</t>
        </r>
      </text>
    </comment>
    <comment ref="C109" authorId="1">
      <text>
        <r>
          <rPr>
            <b/>
            <sz val="8"/>
            <color indexed="81"/>
            <rFont val="Tahoma"/>
            <family val="2"/>
          </rPr>
          <t>Jonas Höglund:</t>
        </r>
        <r>
          <rPr>
            <sz val="8"/>
            <color indexed="81"/>
            <rFont val="Tahoma"/>
            <family val="2"/>
          </rPr>
          <t xml:space="preserve">
STEMFS delnormalvärde
</t>
        </r>
      </text>
    </comment>
    <comment ref="AG109" authorId="1">
      <text>
        <r>
          <rPr>
            <b/>
            <sz val="8"/>
            <color indexed="81"/>
            <rFont val="Tahoma"/>
            <family val="2"/>
          </rPr>
          <t>Jonas Höglund:</t>
        </r>
        <r>
          <rPr>
            <sz val="8"/>
            <color indexed="81"/>
            <rFont val="Tahoma"/>
            <family val="2"/>
          </rPr>
          <t xml:space="preserve">
delnormalvärde STEMFS</t>
        </r>
      </text>
    </comment>
    <comment ref="C126" authorId="1">
      <text>
        <r>
          <rPr>
            <b/>
            <sz val="8"/>
            <color indexed="81"/>
            <rFont val="Tahoma"/>
            <family val="2"/>
          </rPr>
          <t>Jonas Höglund:</t>
        </r>
        <r>
          <rPr>
            <sz val="8"/>
            <color indexed="81"/>
            <rFont val="Tahoma"/>
            <family val="2"/>
          </rPr>
          <t xml:space="preserve">
STEMFS delnormalvärde
</t>
        </r>
      </text>
    </comment>
    <comment ref="C127" authorId="1">
      <text>
        <r>
          <rPr>
            <b/>
            <sz val="8"/>
            <color indexed="81"/>
            <rFont val="Tahoma"/>
            <family val="2"/>
          </rPr>
          <t>Jonas Höglund:</t>
        </r>
        <r>
          <rPr>
            <sz val="8"/>
            <color indexed="81"/>
            <rFont val="Tahoma"/>
            <family val="2"/>
          </rPr>
          <t xml:space="preserve">
STEMFS delnormalvärde
</t>
        </r>
      </text>
    </comment>
    <comment ref="C128" authorId="1">
      <text>
        <r>
          <rPr>
            <b/>
            <sz val="8"/>
            <color indexed="81"/>
            <rFont val="Tahoma"/>
            <family val="2"/>
          </rPr>
          <t>Jonas Höglund:</t>
        </r>
        <r>
          <rPr>
            <sz val="8"/>
            <color indexed="81"/>
            <rFont val="Tahoma"/>
            <family val="2"/>
          </rPr>
          <t xml:space="preserve">
STEMFS delnormalvärde</t>
        </r>
      </text>
    </comment>
    <comment ref="C129" authorId="1">
      <text>
        <r>
          <rPr>
            <b/>
            <sz val="8"/>
            <color indexed="81"/>
            <rFont val="Tahoma"/>
            <family val="2"/>
          </rPr>
          <t>Jonas Höglund:</t>
        </r>
        <r>
          <rPr>
            <sz val="8"/>
            <color indexed="81"/>
            <rFont val="Tahoma"/>
            <family val="2"/>
          </rPr>
          <t xml:space="preserve">
STEMFS delnormalvärde</t>
        </r>
      </text>
    </comment>
    <comment ref="Z132" authorId="1">
      <text>
        <r>
          <rPr>
            <b/>
            <sz val="8"/>
            <color indexed="81"/>
            <rFont val="Tahoma"/>
            <family val="2"/>
          </rPr>
          <t>Jonas Höglund:</t>
        </r>
        <r>
          <rPr>
            <sz val="8"/>
            <color indexed="81"/>
            <rFont val="Tahoma"/>
            <family val="2"/>
          </rPr>
          <t xml:space="preserve">
CO2eq/MJ</t>
        </r>
      </text>
    </comment>
    <comment ref="Z133" authorId="1">
      <text>
        <r>
          <rPr>
            <b/>
            <sz val="8"/>
            <color indexed="81"/>
            <rFont val="Tahoma"/>
            <family val="2"/>
          </rPr>
          <t>Jonas Höglund:</t>
        </r>
        <r>
          <rPr>
            <sz val="8"/>
            <color indexed="81"/>
            <rFont val="Tahoma"/>
            <family val="2"/>
          </rPr>
          <t xml:space="preserve">
CO2eq/MJ</t>
        </r>
      </text>
    </comment>
    <comment ref="Z134" authorId="1">
      <text>
        <r>
          <rPr>
            <b/>
            <sz val="8"/>
            <color indexed="81"/>
            <rFont val="Tahoma"/>
            <family val="2"/>
          </rPr>
          <t>Jonas Höglund:</t>
        </r>
        <r>
          <rPr>
            <sz val="8"/>
            <color indexed="81"/>
            <rFont val="Tahoma"/>
            <family val="2"/>
          </rPr>
          <t xml:space="preserve">
CO2eq/MJ</t>
        </r>
      </text>
    </comment>
    <comment ref="Z135" authorId="1">
      <text>
        <r>
          <rPr>
            <b/>
            <sz val="8"/>
            <color indexed="81"/>
            <rFont val="Tahoma"/>
            <family val="2"/>
          </rPr>
          <t>Jonas Höglund:</t>
        </r>
        <r>
          <rPr>
            <sz val="8"/>
            <color indexed="81"/>
            <rFont val="Tahoma"/>
            <family val="2"/>
          </rPr>
          <t xml:space="preserve">
CO2eq/MJ</t>
        </r>
      </text>
    </comment>
    <comment ref="Z136" authorId="1">
      <text>
        <r>
          <rPr>
            <b/>
            <sz val="8"/>
            <color indexed="81"/>
            <rFont val="Tahoma"/>
            <family val="2"/>
          </rPr>
          <t>Jonas Höglund:</t>
        </r>
        <r>
          <rPr>
            <sz val="8"/>
            <color indexed="81"/>
            <rFont val="Tahoma"/>
            <family val="2"/>
          </rPr>
          <t xml:space="preserve">
CO2eq/MJ. Motsvarar flytande biobränsle för värmeproduktion vilket ger det mest restriktiva alterantivet.</t>
        </r>
      </text>
    </comment>
  </commentList>
</comments>
</file>

<file path=xl/comments5.xml><?xml version="1.0" encoding="utf-8"?>
<comments xmlns="http://schemas.openxmlformats.org/spreadsheetml/2006/main">
  <authors>
    <author>Jonas Höglund</author>
    <author>Fredrik Martinsson</author>
  </authors>
  <commentList>
    <comment ref="R8" authorId="0">
      <text>
        <r>
          <rPr>
            <b/>
            <sz val="8"/>
            <color indexed="81"/>
            <rFont val="Tahoma"/>
            <family val="2"/>
          </rPr>
          <t>Jonas Höglund:</t>
        </r>
        <r>
          <rPr>
            <sz val="8"/>
            <color indexed="81"/>
            <rFont val="Tahoma"/>
            <family val="2"/>
          </rPr>
          <t xml:space="preserve">
OBS ingen användningsdata i LNG N2O</t>
        </r>
      </text>
    </comment>
    <comment ref="J11" authorId="1">
      <text>
        <r>
          <rPr>
            <b/>
            <sz val="8"/>
            <color indexed="81"/>
            <rFont val="Tahoma"/>
            <family val="2"/>
          </rPr>
          <t>Fredrik Martinsson:</t>
        </r>
        <r>
          <rPr>
            <sz val="8"/>
            <color indexed="81"/>
            <rFont val="Tahoma"/>
            <family val="2"/>
          </rPr>
          <t xml:space="preserve">
Ej primärenergi</t>
        </r>
      </text>
    </comment>
  </commentList>
</comments>
</file>

<file path=xl/sharedStrings.xml><?xml version="1.0" encoding="utf-8"?>
<sst xmlns="http://schemas.openxmlformats.org/spreadsheetml/2006/main" count="1822" uniqueCount="677">
  <si>
    <t>Eldningsolja EO1</t>
  </si>
  <si>
    <t>Fortdonstyp:</t>
  </si>
  <si>
    <t>Transportavstånd:</t>
  </si>
  <si>
    <t>CO2</t>
  </si>
  <si>
    <t>CH4</t>
  </si>
  <si>
    <t>N2O</t>
  </si>
  <si>
    <t>Transportavstånd</t>
  </si>
  <si>
    <t>km</t>
  </si>
  <si>
    <t>MJ</t>
  </si>
  <si>
    <t>Vägtransporter</t>
  </si>
  <si>
    <t>Tanker: costal</t>
  </si>
  <si>
    <t>Tanker: product/chem</t>
  </si>
  <si>
    <t>Tanker: inland WW</t>
  </si>
  <si>
    <t>ton/km</t>
  </si>
  <si>
    <t>g CO2eq/tonkm</t>
  </si>
  <si>
    <t>FFA</t>
  </si>
  <si>
    <t>MFA</t>
  </si>
  <si>
    <t>Indata</t>
  </si>
  <si>
    <t>Bränslen</t>
  </si>
  <si>
    <t>Fordon</t>
  </si>
  <si>
    <t>gCO2eq/MJ bränsle</t>
  </si>
  <si>
    <t>MFB</t>
  </si>
  <si>
    <t>TOP (tall oil pitch)</t>
  </si>
  <si>
    <t>MFA (mixed fatty acids)</t>
  </si>
  <si>
    <t>FFA (free fatty acids)</t>
  </si>
  <si>
    <t>Värmevärde MJ/ton</t>
  </si>
  <si>
    <t>Fortum</t>
  </si>
  <si>
    <t>Källa, kommentar</t>
  </si>
  <si>
    <t>Värmevärde MJ/liter</t>
  </si>
  <si>
    <t>Densitet kg/m3</t>
  </si>
  <si>
    <t>Fyllnadsgrad (default)</t>
  </si>
  <si>
    <t>RED</t>
  </si>
  <si>
    <t>CO2 g/liter</t>
  </si>
  <si>
    <t>CH4 g/liter</t>
  </si>
  <si>
    <t>Max load capacity, ton</t>
  </si>
  <si>
    <t>Bränsleförbrukning ton/km</t>
  </si>
  <si>
    <t>CO2 kg/ton bränsle</t>
  </si>
  <si>
    <t>Diesel MK3 5 % FAME</t>
  </si>
  <si>
    <t>Diesel MK1 5 % FAME</t>
  </si>
  <si>
    <t>RME</t>
  </si>
  <si>
    <t>E85</t>
  </si>
  <si>
    <t>Fjärrvärme (Fortum)</t>
  </si>
  <si>
    <t>Fjärrvärme (IVL)</t>
  </si>
  <si>
    <t>Från Fortum förstudie</t>
  </si>
  <si>
    <t>Lastväxlarflak</t>
  </si>
  <si>
    <t>Litet stål</t>
  </si>
  <si>
    <t>Stort stål</t>
  </si>
  <si>
    <t>Stort komposit</t>
  </si>
  <si>
    <t>Vikt</t>
  </si>
  <si>
    <t>Varav gasvikt</t>
  </si>
  <si>
    <t>Lastkapacitet gas Nm3</t>
  </si>
  <si>
    <t>OBS kolla datafil som tillhör MFB ang emissioner från RME i t.ex. tung lastbil</t>
  </si>
  <si>
    <t>OBS kolla datafil som tillhör MFB ang emissioner från fartygsoljor G:\Miljöfaktaboken2009\Granskning\tabelldata till MFB...</t>
  </si>
  <si>
    <t>Fartyg: HFO (heavy fuel oil)</t>
  </si>
  <si>
    <t>Fartyg: LNG (liquid natural gas)</t>
  </si>
  <si>
    <t>NTM</t>
  </si>
  <si>
    <t>NTM vehicle type 6, Euro II, motorway traffic</t>
  </si>
  <si>
    <t>NTM vehicle type 9, Euro II, motorway traffic</t>
  </si>
  <si>
    <t>Tractor+´city trailer´ NTM 6</t>
  </si>
  <si>
    <t>tractor+mega trailer NTM 9</t>
  </si>
  <si>
    <t>Studie</t>
  </si>
  <si>
    <t>Life cycle assessment of marine fuels: A comparative study of four fossil fuels for marine propulsion, SELMA BENGTSSON, KARIN ANDERSSON, ERIK FRIDELL</t>
  </si>
  <si>
    <t>FU</t>
  </si>
  <si>
    <t>MJ bränsle</t>
  </si>
  <si>
    <t>Heavy fuel oil ( HFO)</t>
  </si>
  <si>
    <t>Marine gaseoeous oil ( MGO)</t>
  </si>
  <si>
    <t>LNG från Nordsjön</t>
  </si>
  <si>
    <t>LCI-data</t>
  </si>
  <si>
    <t>Primärenergi, MJ</t>
  </si>
  <si>
    <t>Produktion+distribution</t>
  </si>
  <si>
    <t>Användning i en marin fyrtaktsmotor</t>
  </si>
  <si>
    <t>Total</t>
  </si>
  <si>
    <t>Icke förnybar</t>
  </si>
  <si>
    <t>förnybar</t>
  </si>
  <si>
    <t>Icke förnybara energiresurser, MJ</t>
  </si>
  <si>
    <t>Olja</t>
  </si>
  <si>
    <t>*</t>
  </si>
  <si>
    <t>Naturgas</t>
  </si>
  <si>
    <t>Kol</t>
  </si>
  <si>
    <t>Brunkol</t>
  </si>
  <si>
    <t>Torv</t>
  </si>
  <si>
    <t>Uran( som ren U)</t>
  </si>
  <si>
    <t>Förnybara energiresurser, MJ</t>
  </si>
  <si>
    <t xml:space="preserve">Vattenkraft </t>
  </si>
  <si>
    <t>Biomassa</t>
  </si>
  <si>
    <t>Vindkraft</t>
  </si>
  <si>
    <t>Geotermisk energi</t>
  </si>
  <si>
    <t>Solkraft</t>
  </si>
  <si>
    <t>Emssioner till luft</t>
  </si>
  <si>
    <t>Fossil koldioxid (CO2)</t>
  </si>
  <si>
    <t>g</t>
  </si>
  <si>
    <t>Biogen koldioxid (CO2)</t>
  </si>
  <si>
    <t>Metan (CH4)</t>
  </si>
  <si>
    <r>
      <t>Dikväveoxid (N</t>
    </r>
    <r>
      <rPr>
        <vertAlign val="subscript"/>
        <sz val="9"/>
        <rFont val="Arial"/>
        <family val="2"/>
      </rPr>
      <t>2</t>
    </r>
    <r>
      <rPr>
        <sz val="9"/>
        <rFont val="Arial"/>
        <family val="2"/>
      </rPr>
      <t>O)</t>
    </r>
  </si>
  <si>
    <t>Koloxid (CO)</t>
  </si>
  <si>
    <t>Kväveoxider (NOx)</t>
  </si>
  <si>
    <t>Svaveldioxid (SO2)</t>
  </si>
  <si>
    <t>Flyktiga kolväten (NMVOC)</t>
  </si>
  <si>
    <t>Partiklar (PM)</t>
  </si>
  <si>
    <t>Ammoniak (NH3)</t>
  </si>
  <si>
    <t>Emissioner till vatten</t>
  </si>
  <si>
    <t>Nitrat (NO3)</t>
  </si>
  <si>
    <t>Ammonium (NH4)</t>
  </si>
  <si>
    <t>Fosfater (PO4)</t>
  </si>
  <si>
    <t>LCA-data</t>
  </si>
  <si>
    <t>g CO2eq/MJ bränsle</t>
  </si>
  <si>
    <t>HFO</t>
  </si>
  <si>
    <t>MGO</t>
  </si>
  <si>
    <t>LNG</t>
  </si>
  <si>
    <t>MFB, användning i marin fyrtaktsmotor</t>
  </si>
  <si>
    <t>Öman 2010</t>
  </si>
  <si>
    <t>1 MJ bränsle</t>
  </si>
  <si>
    <t>Diesel ( 5 % RME)</t>
  </si>
  <si>
    <t>Enhet</t>
  </si>
  <si>
    <t>Produktion och distribution</t>
  </si>
  <si>
    <t>Användning i personbil ( Medel)</t>
  </si>
  <si>
    <t>Användning i Lätt lastbil ( Medel)</t>
  </si>
  <si>
    <t>Användning i tung lastbil utan släp ( Medel)</t>
  </si>
  <si>
    <t>Användning i tung lastbil med släp ( medel)</t>
  </si>
  <si>
    <t>Användning i landsvägsbuss ( medel)</t>
  </si>
  <si>
    <t xml:space="preserve">Användning i stadsbuss </t>
  </si>
  <si>
    <t>Primärenergi</t>
  </si>
  <si>
    <t>Icke förnybara energiresurser</t>
  </si>
  <si>
    <t>Förnybara energiresurser</t>
  </si>
  <si>
    <t>Vattenkraft</t>
  </si>
  <si>
    <t>Geotermisk</t>
  </si>
  <si>
    <t>Dikväveoxid (N2O)</t>
  </si>
  <si>
    <t>Växthuseffekt, GWP</t>
  </si>
  <si>
    <t>g CO2eq</t>
  </si>
  <si>
    <t>Eutrofiering, EP</t>
  </si>
  <si>
    <t>g PO43-eq</t>
  </si>
  <si>
    <t>Försurning, AP</t>
  </si>
  <si>
    <t>g SO2-eq</t>
  </si>
  <si>
    <t>Fotokemiska oxidanter, POCP</t>
  </si>
  <si>
    <t>g C2H2-eq</t>
  </si>
  <si>
    <t>Diesel (5% RME)</t>
  </si>
  <si>
    <t>i lätt lastbil</t>
  </si>
  <si>
    <t>i tung lastbil utan släp</t>
  </si>
  <si>
    <t>i tung lastbil med släp</t>
  </si>
  <si>
    <t>Diesel 5 % RME i lätt lastbil</t>
  </si>
  <si>
    <t>Diesel 5 % RME i tung lastbil utan släp</t>
  </si>
  <si>
    <t>Diesel 5 % RME i tung lastbil med släp</t>
  </si>
  <si>
    <t>Sverige</t>
  </si>
  <si>
    <t>Vägtransport</t>
  </si>
  <si>
    <t>Lagring</t>
  </si>
  <si>
    <t>Sjötransport</t>
  </si>
  <si>
    <t>Tallbeckolja</t>
  </si>
  <si>
    <t>MFB, data från 1996</t>
  </si>
  <si>
    <t>parameter</t>
  </si>
  <si>
    <t>indata</t>
  </si>
  <si>
    <t>kommentar</t>
  </si>
  <si>
    <t>Tolja</t>
  </si>
  <si>
    <t>Tute</t>
  </si>
  <si>
    <t>U</t>
  </si>
  <si>
    <t>r</t>
  </si>
  <si>
    <t>h</t>
  </si>
  <si>
    <t>Tmån</t>
  </si>
  <si>
    <t>antal månader uppehålls tid i tanken</t>
  </si>
  <si>
    <t>Eeff</t>
  </si>
  <si>
    <t>effektiva värmevärdet på oljan[MJ/ton]</t>
  </si>
  <si>
    <t>Densiteten på oljan [kg/m^3]</t>
  </si>
  <si>
    <t>efjärrvärme</t>
  </si>
  <si>
    <t>utdata</t>
  </si>
  <si>
    <t>arean för en cylinderskalet[m^2]</t>
  </si>
  <si>
    <t>volymen på tanken[m^3]</t>
  </si>
  <si>
    <t>Tspan</t>
  </si>
  <si>
    <t>uppehållstid i tim</t>
  </si>
  <si>
    <t>P</t>
  </si>
  <si>
    <t>värmeförlusteffekten [W]</t>
  </si>
  <si>
    <t>Etot</t>
  </si>
  <si>
    <t>värmeåtgång för att värma oljan[MJ] i Tspan</t>
  </si>
  <si>
    <t>Emj</t>
  </si>
  <si>
    <t>värmeåtgång för att värme oljan[MJvärme/MJolja] i Tspan</t>
  </si>
  <si>
    <t>etd</t>
  </si>
  <si>
    <r>
      <t>Rå</t>
    </r>
    <r>
      <rPr>
        <vertAlign val="subscript"/>
        <sz val="11"/>
        <color rgb="FF3F3F76"/>
        <rFont val="Calibri"/>
        <family val="2"/>
        <scheme val="minor"/>
      </rPr>
      <t>olja</t>
    </r>
  </si>
  <si>
    <t>Välj Olja här</t>
  </si>
  <si>
    <t>Mix ?</t>
  </si>
  <si>
    <t>emissionsfaktor för fjärrvärme ( Default eldningsolja 1 och 85 % verkningsgrad), g/ MJ värme</t>
  </si>
  <si>
    <t>värmegångskoeffcient på tanken [W/m^2*K], 200+ 40 mm rockwool + 4 skruvar per m^2 se http://www.rockwool.se/system/rockprofil+system/teknisk+dokumentation/v%C3%A4rmeisolering+med+ber%C3%A4kningsprogram+f%C3%B6r+u-v%C3%A4rde</t>
  </si>
  <si>
    <t>gram CO2e per/ MJ olja</t>
  </si>
  <si>
    <t>Nautical mile</t>
  </si>
  <si>
    <t>Avstånd (km)</t>
  </si>
  <si>
    <t>gCO2eq/MJ</t>
  </si>
  <si>
    <t>Okänd</t>
  </si>
  <si>
    <t>Genomsnittligt transportslag</t>
  </si>
  <si>
    <t>Eget värde</t>
  </si>
  <si>
    <t>LAstgrad</t>
  </si>
  <si>
    <t>Var sker transporten</t>
  </si>
  <si>
    <t>EU</t>
  </si>
  <si>
    <t>Sydamerika</t>
  </si>
  <si>
    <t>Asien</t>
  </si>
  <si>
    <t>Tarnsportavstånd</t>
  </si>
  <si>
    <t>Liten tankbil</t>
  </si>
  <si>
    <t>Stor tankbil</t>
  </si>
  <si>
    <t>Är biooljan en restprodukt Enligt STEMFS:2011:11?</t>
  </si>
  <si>
    <t>Default Transportavstånd</t>
  </si>
  <si>
    <t>Vilken biolja avses?</t>
  </si>
  <si>
    <r>
      <t>gram CO</t>
    </r>
    <r>
      <rPr>
        <vertAlign val="subscript"/>
        <sz val="11"/>
        <color theme="1"/>
        <rFont val="Calibri"/>
        <family val="2"/>
        <scheme val="minor"/>
      </rPr>
      <t>2e</t>
    </r>
    <r>
      <rPr>
        <sz val="11"/>
        <color theme="1"/>
        <rFont val="Calibri"/>
        <family val="2"/>
        <scheme val="minor"/>
      </rPr>
      <t>/MJ</t>
    </r>
  </si>
  <si>
    <t>Utdata</t>
  </si>
  <si>
    <t>genomsnittligt utomhus temp i Sverige [K]</t>
  </si>
  <si>
    <t>Svensk Medel 2008</t>
  </si>
  <si>
    <t>Biokraftvärme</t>
  </si>
  <si>
    <t>Oljepanna</t>
  </si>
  <si>
    <t>Industriell Spillvärme</t>
  </si>
  <si>
    <t>Avfallskraftvärme</t>
  </si>
  <si>
    <t>Kommentar</t>
  </si>
  <si>
    <t xml:space="preserve">Alternativ produktions metoden, Nordisk elmix medelvärde 2005-2009, 131 g/kWh, </t>
  </si>
  <si>
    <t xml:space="preserve">Linköping 2008, Avfall +RTflis + Olja </t>
  </si>
  <si>
    <t>Enköping 2008</t>
  </si>
  <si>
    <t>Beräknad med 85 % verkningsgrad, EO1</t>
  </si>
  <si>
    <t>2009, Publicared värden på Svensk Fjärrvärmes hemsida</t>
  </si>
  <si>
    <t>Liten</t>
  </si>
  <si>
    <t>Stor</t>
  </si>
  <si>
    <t>Känslighetsanalys</t>
  </si>
  <si>
    <t>gram CO2e per månads lagring</t>
  </si>
  <si>
    <t>t ute = 20 grader</t>
  </si>
  <si>
    <t>t ute = -10</t>
  </si>
  <si>
    <t>r 4, h 7</t>
  </si>
  <si>
    <t>r 2, h 4</t>
  </si>
  <si>
    <t>15 skruvar per /m^2 120+20 mm isoleing</t>
  </si>
  <si>
    <t>gram CO2e för fyra månaders lagring</t>
  </si>
  <si>
    <t>Dålig isolering</t>
  </si>
  <si>
    <t>Typ av cicstern</t>
  </si>
  <si>
    <t>Geografisk plats</t>
  </si>
  <si>
    <t>Uppvärmningskälla</t>
  </si>
  <si>
    <t>Lagringstid, månader:</t>
  </si>
  <si>
    <t>Fortum 2009</t>
  </si>
  <si>
    <t>Svensk medel-fjärrvärme 2008</t>
  </si>
  <si>
    <t>Industriell spillvärme</t>
  </si>
  <si>
    <t>Fjärrvärme - biokraftvärme</t>
  </si>
  <si>
    <t>Medel stor, r 3, h 5, 140 kubik</t>
  </si>
  <si>
    <t>Eldningsolja</t>
  </si>
  <si>
    <t>Spillvärme</t>
  </si>
  <si>
    <t>Biobränsle</t>
  </si>
  <si>
    <t>CO2e g/MJ</t>
  </si>
  <si>
    <t>Lagring vid anläggning</t>
  </si>
  <si>
    <t>Lagringstid</t>
  </si>
  <si>
    <t>Typ av cistern</t>
  </si>
  <si>
    <t>Lagring biooljor, 1 månad - Stor cistern, Sverige</t>
  </si>
  <si>
    <t>lagrad mängd</t>
  </si>
  <si>
    <t>volym, m^3</t>
  </si>
  <si>
    <t>Lagring biooljor, 1 månad, cistern okänd, Sverige</t>
  </si>
  <si>
    <t>Lagring biooljor, 1 månad , Liten cistern, Sverige</t>
  </si>
  <si>
    <t>Lagring biooljor, 1 månad, cistern okänd, Tempererat klimat</t>
  </si>
  <si>
    <t>Tempererad plats</t>
  </si>
  <si>
    <t>Transportavstånd/rutt:</t>
  </si>
  <si>
    <t>Transportavstånd/rutt</t>
  </si>
  <si>
    <t>från Sydamerika</t>
  </si>
  <si>
    <t>från Nordamerika</t>
  </si>
  <si>
    <t>från Asien</t>
  </si>
  <si>
    <t>från Brasilien</t>
  </si>
  <si>
    <t>från Afrika</t>
  </si>
  <si>
    <t>Avstånd, km</t>
  </si>
  <si>
    <t>Räkna ut avstånd rutt på : http://www.searates.com/reference/portdistance/?fcity1=513&amp;fcity2=11175&amp;speed=12&amp;ccode=3351</t>
  </si>
  <si>
    <t>Fartyg</t>
  </si>
  <si>
    <t>Ruttavstånd till Rotterdam</t>
  </si>
  <si>
    <t>Rotterdam-Stockholm</t>
  </si>
  <si>
    <t>1 nautical mile = 1.852 km</t>
  </si>
  <si>
    <t>coastal</t>
  </si>
  <si>
    <t>product/chem</t>
  </si>
  <si>
    <t>inland WW</t>
  </si>
  <si>
    <t>totalt,etd1</t>
  </si>
  <si>
    <t>gram CO2eq/MJ</t>
  </si>
  <si>
    <t>Steg-för-steg beräkning i produktionskedjan</t>
  </si>
  <si>
    <t>Resultatsammanställning</t>
  </si>
  <si>
    <t>Beräkning av utsläppsminskning</t>
  </si>
  <si>
    <t>inom Sverige</t>
  </si>
  <si>
    <t>Nordamerika</t>
  </si>
  <si>
    <t>Brasilien</t>
  </si>
  <si>
    <t>Afrika</t>
  </si>
  <si>
    <t>g CO2eq/l bränsle</t>
  </si>
  <si>
    <t>Diesel Euro II</t>
  </si>
  <si>
    <t>NTM (CO2 och CH4), MFB (N2O)</t>
  </si>
  <si>
    <t>Bränsleförbrukning (tom) l/km</t>
  </si>
  <si>
    <t>Bränsleförbrukning (full) l/km</t>
  </si>
  <si>
    <t>Vår benämning</t>
  </si>
  <si>
    <t>Benämning i datakälla</t>
  </si>
  <si>
    <t>EO1</t>
  </si>
  <si>
    <t>Bränsleförbrukning:</t>
  </si>
  <si>
    <t>Ange transportavstånd:</t>
  </si>
  <si>
    <t>Fordonstyp::</t>
  </si>
  <si>
    <t>liter full last</t>
  </si>
  <si>
    <t>liter tom returlast</t>
  </si>
  <si>
    <r>
      <t>g CO</t>
    </r>
    <r>
      <rPr>
        <vertAlign val="subscript"/>
        <sz val="11"/>
        <color theme="1"/>
        <rFont val="Calibri"/>
        <family val="2"/>
        <scheme val="minor"/>
      </rPr>
      <t>2eq</t>
    </r>
    <r>
      <rPr>
        <sz val="11"/>
        <color theme="1"/>
        <rFont val="Calibri"/>
        <family val="2"/>
        <scheme val="minor"/>
      </rPr>
      <t>/tonkm</t>
    </r>
  </si>
  <si>
    <t>Totala emissioner:</t>
  </si>
  <si>
    <t>g CO2eq/MJ biobränsle</t>
  </si>
  <si>
    <t>Emissioner per tonkm:</t>
  </si>
  <si>
    <t>Totala emissioner full last:</t>
  </si>
  <si>
    <t>Totala emissioner tom retur:</t>
  </si>
  <si>
    <t>Senaste ändring gjordes:</t>
  </si>
  <si>
    <t>från USA västkust</t>
  </si>
  <si>
    <t>från Skellefteå hamn</t>
  </si>
  <si>
    <t>från Brasilien (Paranagua)</t>
  </si>
  <si>
    <t>Sjötransport till Rotterdam</t>
  </si>
  <si>
    <t>Transportaavstånd:</t>
  </si>
  <si>
    <t>Energiåtgång fartygsbränsle:</t>
  </si>
  <si>
    <t>Typ av fartygsbränsle:</t>
  </si>
  <si>
    <t>Fartygsbränsle:</t>
  </si>
  <si>
    <t>Brännolja</t>
  </si>
  <si>
    <t>Marin gasolja</t>
  </si>
  <si>
    <t>Flytande naturgas</t>
  </si>
  <si>
    <t>Fartyg: MGO (marine gas oil)</t>
  </si>
  <si>
    <t>Fartyg: MDO (marine diesel oil)</t>
  </si>
  <si>
    <t>Marin dieselolja</t>
  </si>
  <si>
    <t>Totalt g CO2eq:</t>
  </si>
  <si>
    <t>g CO2eq/tonkm:</t>
  </si>
  <si>
    <t>Omlastning Europa eller direktimport:</t>
  </si>
  <si>
    <t>Omlastning eller direktimport?</t>
  </si>
  <si>
    <t>Omlastning (Rotterdam)</t>
  </si>
  <si>
    <t>Direktimport utan omlastning</t>
  </si>
  <si>
    <t>Typ av transport:</t>
  </si>
  <si>
    <t>g CO2eq/MJ tallbeckolja till Rotterdam:</t>
  </si>
  <si>
    <t>g CO2eq/MJ tallbeckolja  till Sverige:</t>
  </si>
  <si>
    <t>Palmolja</t>
  </si>
  <si>
    <t>Medel</t>
  </si>
  <si>
    <t>Medele</t>
  </si>
  <si>
    <r>
      <t>A</t>
    </r>
    <r>
      <rPr>
        <b/>
        <vertAlign val="subscript"/>
        <sz val="11"/>
        <color rgb="FF3F3F3F"/>
        <rFont val="Calibri"/>
        <family val="2"/>
        <scheme val="minor"/>
      </rPr>
      <t>liten</t>
    </r>
  </si>
  <si>
    <r>
      <t>A</t>
    </r>
    <r>
      <rPr>
        <b/>
        <vertAlign val="subscript"/>
        <sz val="11"/>
        <color rgb="FF3F3F3F"/>
        <rFont val="Calibri"/>
        <family val="2"/>
        <scheme val="minor"/>
      </rPr>
      <t>stor</t>
    </r>
  </si>
  <si>
    <r>
      <t>A</t>
    </r>
    <r>
      <rPr>
        <b/>
        <vertAlign val="subscript"/>
        <sz val="11"/>
        <color rgb="FF3F3F3F"/>
        <rFont val="Calibri"/>
        <family val="2"/>
        <scheme val="minor"/>
      </rPr>
      <t>medel</t>
    </r>
  </si>
  <si>
    <r>
      <t>V</t>
    </r>
    <r>
      <rPr>
        <b/>
        <vertAlign val="subscript"/>
        <sz val="11"/>
        <color rgb="FF3F3F3F"/>
        <rFont val="Calibri"/>
        <family val="2"/>
        <scheme val="minor"/>
      </rPr>
      <t>liten</t>
    </r>
  </si>
  <si>
    <r>
      <t>V</t>
    </r>
    <r>
      <rPr>
        <b/>
        <vertAlign val="subscript"/>
        <sz val="11"/>
        <color rgb="FF3F3F3F"/>
        <rFont val="Calibri"/>
        <family val="2"/>
        <scheme val="minor"/>
      </rPr>
      <t>stor</t>
    </r>
  </si>
  <si>
    <r>
      <t>V</t>
    </r>
    <r>
      <rPr>
        <b/>
        <vertAlign val="subscript"/>
        <sz val="11"/>
        <color rgb="FF3F3F3F"/>
        <rFont val="Calibri"/>
        <family val="2"/>
        <scheme val="minor"/>
      </rPr>
      <t>medel</t>
    </r>
  </si>
  <si>
    <t>Eolja (liten)</t>
  </si>
  <si>
    <t>Eolja (stor)</t>
  </si>
  <si>
    <t>Eolja (medel)</t>
  </si>
  <si>
    <t>Liten cistern, 2000 m^3</t>
  </si>
  <si>
    <t>energiinnehåll [MJ i tanken], halvfull i genomsnitt</t>
  </si>
  <si>
    <t>Stor cistern, 30 000 m^3</t>
  </si>
  <si>
    <t>Medelstor cisternm, 9000 m^3</t>
  </si>
  <si>
    <t>5 % hjälpel</t>
  </si>
  <si>
    <t>Diesel</t>
  </si>
  <si>
    <t>N-fertiliser (kg N)</t>
  </si>
  <si>
    <t>CaO-fertiliser (kg CaO)</t>
  </si>
  <si>
    <t>Pesticides</t>
  </si>
  <si>
    <t>Odlingssteget</t>
  </si>
  <si>
    <t>P2O5-fertiliser (kg P2O5)</t>
  </si>
  <si>
    <t>K2O-fertiliser (kg K2O)</t>
  </si>
  <si>
    <t>Seeds- corn</t>
  </si>
  <si>
    <t>Seeds- rapeseed</t>
  </si>
  <si>
    <t>Seeds- soy bean</t>
  </si>
  <si>
    <t>Seeds- sugarbeet</t>
  </si>
  <si>
    <t>Seeds- sugarcane</t>
  </si>
  <si>
    <t>Seeds- sunflower</t>
  </si>
  <si>
    <t>Seeds- wheat</t>
  </si>
  <si>
    <t>g CO2/kg</t>
  </si>
  <si>
    <t>g CH4/kg</t>
  </si>
  <si>
    <t>g N2O/kg</t>
  </si>
  <si>
    <t>BioGrace (JEC E3-database)</t>
  </si>
  <si>
    <r>
      <t>MJ</t>
    </r>
    <r>
      <rPr>
        <vertAlign val="subscript"/>
        <sz val="10"/>
        <rFont val="Arial"/>
        <family val="2"/>
      </rPr>
      <t>FAME</t>
    </r>
    <r>
      <rPr>
        <sz val="10"/>
        <rFont val="Arial"/>
        <family val="2"/>
      </rPr>
      <t xml:space="preserve"> ha</t>
    </r>
    <r>
      <rPr>
        <vertAlign val="superscript"/>
        <sz val="10"/>
        <rFont val="Arial"/>
        <family val="2"/>
      </rPr>
      <t>-1</t>
    </r>
    <r>
      <rPr>
        <sz val="10"/>
        <rFont val="Arial"/>
        <family val="2"/>
      </rPr>
      <t xml:space="preserve"> year</t>
    </r>
    <r>
      <rPr>
        <vertAlign val="superscript"/>
        <sz val="10"/>
        <rFont val="Arial"/>
        <family val="2"/>
      </rPr>
      <t>-1</t>
    </r>
  </si>
  <si>
    <t>Övrigt</t>
  </si>
  <si>
    <t>Sjötransporter</t>
  </si>
  <si>
    <r>
      <t>Odling av råvaror, e</t>
    </r>
    <r>
      <rPr>
        <i/>
        <vertAlign val="subscript"/>
        <sz val="11"/>
        <rFont val="Calibri"/>
        <family val="2"/>
        <scheme val="minor"/>
      </rPr>
      <t>ec</t>
    </r>
  </si>
  <si>
    <r>
      <t>Transport och lagring, e</t>
    </r>
    <r>
      <rPr>
        <i/>
        <vertAlign val="subscript"/>
        <sz val="11"/>
        <rFont val="Calibri"/>
        <family val="2"/>
        <scheme val="minor"/>
      </rPr>
      <t>td</t>
    </r>
  </si>
  <si>
    <t>Totalt, E</t>
  </si>
  <si>
    <t>Ange typ av biobränsle och ändamål</t>
  </si>
  <si>
    <t>Typ och ändamål</t>
  </si>
  <si>
    <t>Biodrivmedel för transport</t>
  </si>
  <si>
    <t>Flytande biobränsle för elproduktion</t>
  </si>
  <si>
    <t>Flytande biobränsle för kraftvärmeproduktion</t>
  </si>
  <si>
    <r>
      <t>Fossil motsvarighet, E</t>
    </r>
    <r>
      <rPr>
        <vertAlign val="subscript"/>
        <sz val="11"/>
        <rFont val="Calibri"/>
        <family val="2"/>
        <scheme val="minor"/>
      </rPr>
      <t>F</t>
    </r>
    <r>
      <rPr>
        <sz val="11"/>
        <rFont val="Calibri"/>
        <family val="2"/>
        <scheme val="minor"/>
      </rPr>
      <t>:</t>
    </r>
  </si>
  <si>
    <t>CO2eq/MJ</t>
  </si>
  <si>
    <t>Fossil referens</t>
  </si>
  <si>
    <t>Utsläppsminskning:</t>
  </si>
  <si>
    <t>Flytande biobränsle för värmeproduktion</t>
  </si>
  <si>
    <t>BioGrace</t>
  </si>
  <si>
    <t>Rapsolja Sverige</t>
  </si>
  <si>
    <t>Total N2O emissions kg N20/ha/år</t>
  </si>
  <si>
    <t>GHG-effektivitet palmoljeprocess</t>
  </si>
  <si>
    <t>Extraktion olja</t>
  </si>
  <si>
    <t>Determination of GHG contributions by subsystems in the oil palm supply chain using the LCA approach, Yuen May Choo, Halimah Muhamad, Zulkifli Hashim, Vijaya Subramaniam, Chiew Wei Puah and YewAi Tan</t>
  </si>
  <si>
    <t>Typ av uppvärmningskälla</t>
  </si>
  <si>
    <t>Cistern</t>
  </si>
  <si>
    <t>Emissioner per månad</t>
  </si>
  <si>
    <t xml:space="preserve">g CO2eq/MJ </t>
  </si>
  <si>
    <t>måndader</t>
  </si>
  <si>
    <t>Energimyndigheten sammanställning: http://www.energimyndigheten.se/Global/Företag/Hållbarhetskitierier/Nuts-Sammanfattning-Enskilda-Medlemsstater.pdf</t>
  </si>
  <si>
    <t>Delnormalvärden</t>
  </si>
  <si>
    <t>Typ av fordon</t>
  </si>
  <si>
    <t>Okänt fordon</t>
  </si>
  <si>
    <t>Okänt bränsle</t>
  </si>
  <si>
    <t>Process med avskiljning av biogas</t>
  </si>
  <si>
    <t>Process utan avskiljning av biogas</t>
  </si>
  <si>
    <t>Okänd process</t>
  </si>
  <si>
    <t>Eget avstånd</t>
  </si>
  <si>
    <t>Instruktioner till verktyget</t>
  </si>
  <si>
    <t>Bränsle:</t>
  </si>
  <si>
    <t>Bränsle i fordon:</t>
  </si>
  <si>
    <t>Bränsle i fordon</t>
  </si>
  <si>
    <t>Diesel (5 % RME)</t>
  </si>
  <si>
    <t>vilket ger emissionsfaktor</t>
  </si>
  <si>
    <r>
      <t>g CO</t>
    </r>
    <r>
      <rPr>
        <vertAlign val="subscript"/>
        <sz val="11"/>
        <color theme="1"/>
        <rFont val="Calibri"/>
        <family val="2"/>
        <scheme val="minor"/>
      </rPr>
      <t>2eq</t>
    </r>
    <r>
      <rPr>
        <sz val="11"/>
        <color theme="1"/>
        <rFont val="Calibri"/>
        <family val="2"/>
        <scheme val="minor"/>
      </rPr>
      <t>/l bränsle</t>
    </r>
  </si>
  <si>
    <t>Diesel (utan RME)</t>
  </si>
  <si>
    <t>Sektion för inmatning av data</t>
  </si>
  <si>
    <t>Sektion som sammanfattar inmatad data samt ger ytterligare information.</t>
  </si>
  <si>
    <t>Från vilket ursprungsland importeras oljan?</t>
  </si>
  <si>
    <t>Ingår ej</t>
  </si>
  <si>
    <t>Från vilket land importeras oljan?</t>
  </si>
  <si>
    <t>USA</t>
  </si>
  <si>
    <r>
      <t>g CO</t>
    </r>
    <r>
      <rPr>
        <vertAlign val="subscript"/>
        <sz val="11"/>
        <rFont val="Calibri"/>
        <family val="2"/>
        <scheme val="minor"/>
      </rPr>
      <t>2eq</t>
    </r>
    <r>
      <rPr>
        <sz val="11"/>
        <rFont val="Calibri"/>
        <family val="2"/>
        <scheme val="minor"/>
      </rPr>
      <t>/MJ</t>
    </r>
  </si>
  <si>
    <t>Sammanfattning</t>
  </si>
  <si>
    <t>-</t>
  </si>
  <si>
    <t>Typ av Bioolja</t>
  </si>
  <si>
    <t>Senast ändrad</t>
  </si>
  <si>
    <t>Fördelning av emissioner:</t>
  </si>
  <si>
    <t>RME (100 %)</t>
  </si>
  <si>
    <t>Ange bioolja och värmevärde:</t>
  </si>
  <si>
    <t>FFA (36 000 MJ/ton)</t>
  </si>
  <si>
    <t>MFA (36 000 MJ/ton)</t>
  </si>
  <si>
    <t>TOP (38 000 MJ/ton)</t>
  </si>
  <si>
    <t>Bioolja och värmevärde:</t>
  </si>
  <si>
    <t>Eget värmevärde</t>
  </si>
  <si>
    <t>Fjärrvärme-Stockholm</t>
  </si>
  <si>
    <t>Fjärrvärme- Stockholm 2009</t>
  </si>
  <si>
    <t>Stor cistern,30 000m^3</t>
  </si>
  <si>
    <t>Medelstor cistern, 9000 m^3</t>
  </si>
  <si>
    <t>Storlek</t>
  </si>
  <si>
    <t>Lagring biooljor, 1 månad, cistern medelstorlek, Sverige</t>
  </si>
  <si>
    <t>kubikmeter</t>
  </si>
  <si>
    <t>Biogas (100 %)</t>
  </si>
  <si>
    <t>Biogas</t>
  </si>
  <si>
    <t>Soya</t>
  </si>
  <si>
    <t>Raps (Sverige)</t>
  </si>
  <si>
    <t>Raps (EU)</t>
  </si>
  <si>
    <t>Odling och bearbetning</t>
  </si>
  <si>
    <t>Välj typ av råvara</t>
  </si>
  <si>
    <t>Oljepalm</t>
  </si>
  <si>
    <t>STEMFs2011:1</t>
  </si>
  <si>
    <t>Defaultvärden från biograce:</t>
  </si>
  <si>
    <t>Biograce, g CO2eq/MJ FAME</t>
  </si>
  <si>
    <t>NUTS2 g CO2eq/MJ FAME</t>
  </si>
  <si>
    <t>STEMFS delnormalvärden gCO2eq/MJ bränsle</t>
  </si>
  <si>
    <t>Ren vegetabilisk rapsolja</t>
  </si>
  <si>
    <t>Välj typ av råvara:</t>
  </si>
  <si>
    <r>
      <t>g CO</t>
    </r>
    <r>
      <rPr>
        <vertAlign val="subscript"/>
        <sz val="11"/>
        <color theme="1"/>
        <rFont val="Calibri"/>
        <family val="2"/>
        <scheme val="minor"/>
      </rPr>
      <t>2eq</t>
    </r>
    <r>
      <rPr>
        <sz val="11"/>
        <color theme="1"/>
        <rFont val="Calibri"/>
        <family val="2"/>
        <scheme val="minor"/>
      </rPr>
      <t>/MJ</t>
    </r>
  </si>
  <si>
    <t>Default- och delnormalvärden för odlingssteget, eec</t>
  </si>
  <si>
    <t>Bearbetning,ep-ee, STEMFS, g CO2eq/MJ bränsle</t>
  </si>
  <si>
    <t>&gt;</t>
  </si>
  <si>
    <t>Emissionsfaktor:</t>
  </si>
  <si>
    <t>kedjan är indelad i kronologisk ordning.</t>
  </si>
  <si>
    <t>Färgkoder:</t>
  </si>
  <si>
    <t>Sektioner för beräkning av växthusgasemissioner. Biobränsle-</t>
  </si>
  <si>
    <t>Utdata (resultat av beräkningar). Ej möjliga att ändra.</t>
  </si>
  <si>
    <t>Indata (användarvalda data).</t>
  </si>
  <si>
    <t>Sektion för resultat av beräkningar.</t>
  </si>
  <si>
    <t>Indataceller med "&gt;" i vänsterkanten är drop-downmenyer. Menyn visas</t>
  </si>
  <si>
    <t>genom att klicka i det orangea fältet.</t>
  </si>
  <si>
    <t>Indataceller utan "&gt;" i vänsterkanten är till för att ange egna</t>
  </si>
  <si>
    <t>värden, i detta fall antal kilometer.</t>
  </si>
  <si>
    <t>Restprodukt eller primärt bränsle?</t>
  </si>
  <si>
    <t>Klicka här för att komma till vägledningen (internetlänk)</t>
  </si>
  <si>
    <t>Ordningen kan ändras av användaren för att anpassas till en given biobränslekedja</t>
  </si>
  <si>
    <t>hänvisningar i sammanställningen).</t>
  </si>
  <si>
    <t xml:space="preserve">genom att kopiera sektioner till rätt ordning (kräver dock uppdatering av vissa </t>
  </si>
  <si>
    <r>
      <t>e</t>
    </r>
    <r>
      <rPr>
        <vertAlign val="subscript"/>
        <sz val="16"/>
        <rFont val="Calibri"/>
        <family val="2"/>
        <scheme val="minor"/>
      </rPr>
      <t>ec</t>
    </r>
  </si>
  <si>
    <r>
      <t>e</t>
    </r>
    <r>
      <rPr>
        <vertAlign val="subscript"/>
        <sz val="16"/>
        <rFont val="Calibri"/>
        <family val="2"/>
        <scheme val="minor"/>
      </rPr>
      <t>l</t>
    </r>
  </si>
  <si>
    <r>
      <t>e</t>
    </r>
    <r>
      <rPr>
        <vertAlign val="subscript"/>
        <sz val="16"/>
        <rFont val="Calibri"/>
        <family val="2"/>
        <scheme val="minor"/>
      </rPr>
      <t>p</t>
    </r>
  </si>
  <si>
    <r>
      <t>e</t>
    </r>
    <r>
      <rPr>
        <vertAlign val="subscript"/>
        <sz val="16"/>
        <rFont val="Calibri"/>
        <family val="2"/>
        <scheme val="minor"/>
      </rPr>
      <t>sca</t>
    </r>
  </si>
  <si>
    <r>
      <t>e</t>
    </r>
    <r>
      <rPr>
        <vertAlign val="subscript"/>
        <sz val="16"/>
        <rFont val="Calibri"/>
        <family val="2"/>
        <scheme val="minor"/>
      </rPr>
      <t>cc</t>
    </r>
  </si>
  <si>
    <r>
      <t>e</t>
    </r>
    <r>
      <rPr>
        <vertAlign val="subscript"/>
        <sz val="16"/>
        <rFont val="Calibri"/>
        <family val="2"/>
        <scheme val="minor"/>
      </rPr>
      <t>td</t>
    </r>
  </si>
  <si>
    <r>
      <t>e</t>
    </r>
    <r>
      <rPr>
        <vertAlign val="subscript"/>
        <sz val="16"/>
        <rFont val="Calibri"/>
        <family val="2"/>
        <scheme val="minor"/>
      </rPr>
      <t>u</t>
    </r>
  </si>
  <si>
    <t>Användning av bränslet</t>
  </si>
  <si>
    <t>Transport och lagring</t>
  </si>
  <si>
    <t>Kollager</t>
  </si>
  <si>
    <t>Bearbeting</t>
  </si>
  <si>
    <t>Förändring i kollager</t>
  </si>
  <si>
    <t>Odling av råvaror</t>
  </si>
  <si>
    <t>E</t>
  </si>
  <si>
    <t>Totala emissioner</t>
  </si>
  <si>
    <t>Fossil motsvarighet:</t>
  </si>
  <si>
    <t>CO2 g/liter, förbränning</t>
  </si>
  <si>
    <t>CH4 g/liter, förbränning</t>
  </si>
  <si>
    <t>g CO2eq/l bränsle totalt</t>
  </si>
  <si>
    <t>N20 g/liter, förbränning</t>
  </si>
  <si>
    <t>CO2 g/liter, uppst§</t>
  </si>
  <si>
    <t>CH4 g/liter, upströmms</t>
  </si>
  <si>
    <t>N20 g/liter, uppströmms</t>
  </si>
  <si>
    <t>Diesel (0 % RME)</t>
  </si>
  <si>
    <t>CNG, Svensktmedel med 62 % biogas och 38 % naturgas</t>
  </si>
  <si>
    <t>Fartygsbränslen från Miljöfaktabok 2011</t>
  </si>
  <si>
    <t>Lastbilsbränslen, Diesel, från Miljöfaktabok 2011</t>
  </si>
  <si>
    <t>Lastbilsbränslen, RME, från Miljöfaktabok 2011</t>
  </si>
  <si>
    <t>Börjesson 2010</t>
  </si>
  <si>
    <t>Fysikalisk allokering, Svensk elmix</t>
  </si>
  <si>
    <t>Raps</t>
  </si>
  <si>
    <t>Raps + halm</t>
  </si>
  <si>
    <t>Produktion + distribution</t>
  </si>
  <si>
    <t>Användning(Personbil)</t>
  </si>
  <si>
    <t>Biogen Fossil Fossil koldioxid (CO2)</t>
  </si>
  <si>
    <t>Flyktiga kolväten (VOC)</t>
  </si>
  <si>
    <t>Biogen dikväveoxid(N20)**</t>
  </si>
  <si>
    <t>Lastbilsbränslen, CNG, från Miljöfaktabok 2011</t>
  </si>
  <si>
    <t>CNG utan användning av bensin dvs 100 % gas ( 62 vol% bio och 38 vol% NG, 2009)**</t>
  </si>
  <si>
    <t>CNG utan användning av bensin dvs 15 % bensin 85 % gas ( varav 62 vol% bio och 38 vol% NG, 2009)**</t>
  </si>
  <si>
    <t>CNG ( 100 % gas med mix enligt **)</t>
  </si>
  <si>
    <t>CNG ( 15 vol% bensin och 85 vol% gas* med mix enligt **)</t>
  </si>
  <si>
    <t>Användning personbil</t>
  </si>
  <si>
    <t>Mix</t>
  </si>
  <si>
    <t>MJ/Nm^3**</t>
  </si>
  <si>
    <t>Vol% Biogas</t>
  </si>
  <si>
    <t>Vol%Naturgas</t>
  </si>
  <si>
    <t>Andel per MJ drivmedel ( genomsnitt) med 62 vol% biogas och 38 vol % NG</t>
  </si>
  <si>
    <t>*Index över nya bilars klimatpåverkan 2008 – I riket länen och kommunerna, Rapport 5946, Naturvårdsverket, Mars 2009</t>
  </si>
  <si>
    <t>** PM Uppdaterade reduktionsvärden för etanol- och gasfordon till bilindex, Trafikverket 2010-04-12</t>
  </si>
  <si>
    <t>Stenkol</t>
  </si>
  <si>
    <t>Födelning av använd biogas</t>
  </si>
  <si>
    <t>Andel</t>
  </si>
  <si>
    <t>Bensin</t>
  </si>
  <si>
    <t>Avloppsslam</t>
  </si>
  <si>
    <t>MJ/Nm^3** ( MJ/ liter för bensin)</t>
  </si>
  <si>
    <t>vol% Bensin</t>
  </si>
  <si>
    <t>Slaktavfall</t>
  </si>
  <si>
    <t xml:space="preserve">Andel per MJ drivmedel  med 62 vol% biogas </t>
  </si>
  <si>
    <t>Källsorterat matavfall</t>
  </si>
  <si>
    <t>Gödsel</t>
  </si>
  <si>
    <t>Mj</t>
  </si>
  <si>
    <t>Lastbilsbränslen(lättlastbil), E85, från Miljöfaktabok 2011</t>
  </si>
  <si>
    <t>Bensin ( 100 %)</t>
  </si>
  <si>
    <t>E85 ( 95 % sockrör, 5 % från sulfitetanol) Då data saknas används 50 % vete och 50 % sockerbetor istället.</t>
  </si>
  <si>
    <t>E85 ( 85 vol%, 15 vol%)</t>
  </si>
  <si>
    <t>Anvädning personbil</t>
  </si>
  <si>
    <t>Omlastning Europa eller
direktimport:</t>
  </si>
  <si>
    <t>Välj transportslag:</t>
  </si>
  <si>
    <t>Välj transportslag</t>
  </si>
  <si>
    <t>Tallbeckolja (38 000 MJ/ton)</t>
  </si>
  <si>
    <t>Palmolja (37 000 MJ/ton)</t>
  </si>
  <si>
    <t>Rapsolja (37 600 MJ/ton)</t>
  </si>
  <si>
    <t>Lagring vid hamn</t>
  </si>
  <si>
    <t>Sjötransport till Sverige</t>
  </si>
  <si>
    <t>Vägtransport i Sverige till lagringsplats</t>
  </si>
  <si>
    <t>Grafisk sammanställning</t>
  </si>
  <si>
    <t>Typ av fartyg</t>
  </si>
  <si>
    <t>Fjärrvärme-Sverigemedel</t>
  </si>
  <si>
    <t>Metod för beräkning av minskning av växthusgasutsläpp</t>
  </si>
  <si>
    <t>Total utsläppsminskning:</t>
  </si>
  <si>
    <t>Resultat av beräkningar</t>
  </si>
  <si>
    <t>Börja här!</t>
  </si>
  <si>
    <t>Vägtransport eller sjötransport till lagringsplats. Fartyget är ett mindre fartyg för kusttransporter.</t>
  </si>
  <si>
    <t>Lagring vid hamn i ursprungsland</t>
  </si>
  <si>
    <t>Sjötransport från ursprungsland till Sverige</t>
  </si>
  <si>
    <t>Transportavstånd till lagringsplats, fartyg</t>
  </si>
  <si>
    <t>Okänt</t>
  </si>
  <si>
    <t>Ange transportavstånd med fartyg:</t>
  </si>
  <si>
    <t>Okänt fordonsbränsle</t>
  </si>
  <si>
    <t>Okänd cisterntyp</t>
  </si>
  <si>
    <t>Ej känt om omlastning sker</t>
  </si>
  <si>
    <t>Överskottsel</t>
  </si>
  <si>
    <t>Biobränslen-Förädlade</t>
  </si>
  <si>
    <t>Biobränsle - Icke förädlade</t>
  </si>
  <si>
    <t>Hushållsavfall</t>
  </si>
  <si>
    <t>El verkningsgrad</t>
  </si>
  <si>
    <t>MWh/år</t>
  </si>
  <si>
    <t>Ange elbehovet i bränsleproduktionsprocessen</t>
  </si>
  <si>
    <t xml:space="preserve">Ange totala värmeproduktionen </t>
  </si>
  <si>
    <t>Ange bränsleproduktionens värmebehov</t>
  </si>
  <si>
    <t>Referens elverkningsgrad</t>
  </si>
  <si>
    <t>Verksamhetsavfall</t>
  </si>
  <si>
    <t>eldningsolja nr 2-5</t>
  </si>
  <si>
    <t>pellets</t>
  </si>
  <si>
    <t>GROT</t>
  </si>
  <si>
    <t>Hushållsavfall ( Svensk genomsnitt ej utsortering av matavfall)</t>
  </si>
  <si>
    <t>Bearbeting, gCO2eq/MJ bränsle</t>
  </si>
  <si>
    <t>naturgas(västeuropa)</t>
  </si>
  <si>
    <t>PTP</t>
  </si>
  <si>
    <r>
      <t>g CO</t>
    </r>
    <r>
      <rPr>
        <vertAlign val="subscript"/>
        <sz val="11"/>
        <color theme="1"/>
        <rFont val="Calibri"/>
        <family val="2"/>
        <scheme val="minor"/>
      </rPr>
      <t>2e</t>
    </r>
  </si>
  <si>
    <r>
      <t>ton CO</t>
    </r>
    <r>
      <rPr>
        <vertAlign val="subscript"/>
        <sz val="11"/>
        <color theme="1"/>
        <rFont val="Calibri"/>
        <family val="2"/>
        <scheme val="minor"/>
      </rPr>
      <t>2e</t>
    </r>
  </si>
  <si>
    <t>Ange totala elproduktionen från kraftvärmeanläggningen:</t>
  </si>
  <si>
    <t>Ange Total producerad biolja:</t>
  </si>
  <si>
    <t>Ange internt elbehov i kraftvärmeanlägnningen:</t>
  </si>
  <si>
    <t>Odling av råvara</t>
  </si>
  <si>
    <t>Omvandlingsfaktorer odling</t>
  </si>
  <si>
    <t>Soja</t>
  </si>
  <si>
    <t>Solros</t>
  </si>
  <si>
    <t>Oljepalm_</t>
  </si>
  <si>
    <t>MJ/ha, år</t>
  </si>
  <si>
    <t>g CO2</t>
  </si>
  <si>
    <t>g CH4</t>
  </si>
  <si>
    <t>g N2O</t>
  </si>
  <si>
    <t>Energiåtgång i odling</t>
  </si>
  <si>
    <t>Gödsling etc.</t>
  </si>
  <si>
    <t>kg per ha och år:</t>
  </si>
  <si>
    <t>g CO2eq/MJ</t>
  </si>
  <si>
    <t>g CO2/MJ bränsle</t>
  </si>
  <si>
    <t>liter/ha och år</t>
  </si>
  <si>
    <t>Bearbetning, ep</t>
  </si>
  <si>
    <t>Ange emissioner från bearbetning:</t>
  </si>
  <si>
    <t>OBS! Emissioner från bearbetning kan beräknas med andra verktyg,</t>
  </si>
  <si>
    <t>&lt;------------</t>
  </si>
  <si>
    <t>g CO2eq/MJ (RME), ep</t>
  </si>
  <si>
    <t>Totala emissionsminskning överskottsel:</t>
  </si>
  <si>
    <t>Kvävegödsel (kg N)</t>
  </si>
  <si>
    <t>CaO-gödsel (kg CaO)</t>
  </si>
  <si>
    <t>K2O-gödsel (kg K2O)</t>
  </si>
  <si>
    <t>P2O5-gödsel (kg P2O5)</t>
  </si>
  <si>
    <t>Pesticider</t>
  </si>
  <si>
    <t>N2O-emissioner från mark (kg N)</t>
  </si>
  <si>
    <t>N2O-emissioner från mark kan beräknas med andra verktyg</t>
  </si>
  <si>
    <t>till exempel BioGrace (www.biograce.com)</t>
  </si>
  <si>
    <t>Sker förändrad markanvändning?</t>
  </si>
  <si>
    <t>Ja</t>
  </si>
  <si>
    <t>Nej</t>
  </si>
  <si>
    <t>Mer information om förändrad markanvändning finns i STEMFS2011:2. För beräkningen</t>
  </si>
  <si>
    <t>av förändrad markanvändning kan andra verktyg användas (www.biograce.com)</t>
  </si>
  <si>
    <t>t.ex. BioGrace, (www.biograce.com).</t>
  </si>
  <si>
    <r>
      <t>CO</t>
    </r>
    <r>
      <rPr>
        <vertAlign val="subscript"/>
        <sz val="11"/>
        <color theme="1"/>
        <rFont val="Calibri"/>
        <family val="2"/>
        <scheme val="minor"/>
      </rPr>
      <t>2</t>
    </r>
    <r>
      <rPr>
        <sz val="11"/>
        <color theme="1"/>
        <rFont val="Calibri"/>
        <family val="2"/>
        <scheme val="minor"/>
      </rPr>
      <t xml:space="preserve"> från odlingen:</t>
    </r>
  </si>
  <si>
    <r>
      <t>CH</t>
    </r>
    <r>
      <rPr>
        <vertAlign val="subscript"/>
        <sz val="11"/>
        <color theme="1"/>
        <rFont val="Calibri"/>
        <family val="2"/>
        <scheme val="minor"/>
      </rPr>
      <t>4</t>
    </r>
    <r>
      <rPr>
        <sz val="11"/>
        <color theme="1"/>
        <rFont val="Calibri"/>
        <family val="2"/>
        <scheme val="minor"/>
      </rPr>
      <t xml:space="preserve"> från odlingen:</t>
    </r>
  </si>
  <si>
    <r>
      <t>N</t>
    </r>
    <r>
      <rPr>
        <vertAlign val="subscript"/>
        <sz val="11"/>
        <color theme="1"/>
        <rFont val="Calibri"/>
        <family val="2"/>
        <scheme val="minor"/>
      </rPr>
      <t>2</t>
    </r>
    <r>
      <rPr>
        <sz val="11"/>
        <color theme="1"/>
        <rFont val="Calibri"/>
        <family val="2"/>
        <scheme val="minor"/>
      </rPr>
      <t>O från odlingen:</t>
    </r>
  </si>
  <si>
    <t>Använda egna värden eller standardvärden?</t>
  </si>
  <si>
    <t>Egna värden eller standardvärden?</t>
  </si>
  <si>
    <t>Egna värden</t>
  </si>
  <si>
    <t>Standardvärden</t>
  </si>
  <si>
    <t>Markanvändning</t>
  </si>
  <si>
    <t>Okänt om LUC förekommer</t>
  </si>
  <si>
    <t>Default LUC calculation according to BioGrace</t>
  </si>
  <si>
    <t>ton CO2/ha,år</t>
  </si>
  <si>
    <t>"okänd" innebär att ett restriktivt värde används.</t>
  </si>
  <si>
    <t>Allokeringsfaktor, BioGrace</t>
  </si>
  <si>
    <t>Energitillförsel</t>
  </si>
  <si>
    <t>Elektrisk energi</t>
  </si>
  <si>
    <t>Ånga</t>
  </si>
  <si>
    <t>Bränsle till ångproduktion</t>
  </si>
  <si>
    <t>Utbyte (ton bioolja/ha,år)</t>
  </si>
  <si>
    <t>Allokeringsfaktor</t>
  </si>
  <si>
    <t>Utbyte i processen</t>
  </si>
  <si>
    <r>
      <t>m</t>
    </r>
    <r>
      <rPr>
        <vertAlign val="superscript"/>
        <sz val="11"/>
        <color theme="1"/>
        <rFont val="Calibri"/>
        <family val="2"/>
        <scheme val="minor"/>
      </rPr>
      <t>3</t>
    </r>
    <r>
      <rPr>
        <sz val="11"/>
        <color theme="1"/>
        <rFont val="Calibri"/>
        <family val="2"/>
        <scheme val="minor"/>
      </rPr>
      <t>/år</t>
    </r>
  </si>
  <si>
    <t>Ange vilket bränsle som används i processen</t>
  </si>
  <si>
    <t>Ange ett Eget värde eller välj "okänd".</t>
  </si>
  <si>
    <r>
      <t>MJ</t>
    </r>
    <r>
      <rPr>
        <vertAlign val="subscript"/>
        <sz val="11"/>
        <color theme="1"/>
        <rFont val="Calibri"/>
        <family val="2"/>
        <scheme val="minor"/>
      </rPr>
      <t>olja</t>
    </r>
    <r>
      <rPr>
        <sz val="11"/>
        <color theme="1"/>
        <rFont val="Calibri"/>
        <family val="2"/>
        <scheme val="minor"/>
      </rPr>
      <t>/MJ</t>
    </r>
    <r>
      <rPr>
        <vertAlign val="subscript"/>
        <sz val="11"/>
        <color theme="1"/>
        <rFont val="Calibri"/>
        <family val="2"/>
        <scheme val="minor"/>
      </rPr>
      <t>råvara</t>
    </r>
  </si>
  <si>
    <r>
      <t>MJ</t>
    </r>
    <r>
      <rPr>
        <vertAlign val="subscript"/>
        <sz val="11"/>
        <color theme="1"/>
        <rFont val="Calibri"/>
        <family val="2"/>
        <scheme val="minor"/>
      </rPr>
      <t>bi-produkt</t>
    </r>
    <r>
      <rPr>
        <sz val="11"/>
        <color theme="1"/>
        <rFont val="Calibri"/>
        <family val="2"/>
        <scheme val="minor"/>
      </rPr>
      <t>/MJ</t>
    </r>
    <r>
      <rPr>
        <vertAlign val="subscript"/>
        <sz val="11"/>
        <color theme="1"/>
        <rFont val="Calibri"/>
        <family val="2"/>
        <scheme val="minor"/>
      </rPr>
      <t>råvara</t>
    </r>
  </si>
  <si>
    <t>%</t>
  </si>
  <si>
    <r>
      <t>MJ/MJ</t>
    </r>
    <r>
      <rPr>
        <vertAlign val="subscript"/>
        <sz val="11"/>
        <color theme="1"/>
        <rFont val="Calibri"/>
        <family val="2"/>
        <scheme val="minor"/>
      </rPr>
      <t>olja</t>
    </r>
  </si>
  <si>
    <t>Verkningsgrad för ångprocessen</t>
  </si>
  <si>
    <t>Elmix</t>
  </si>
  <si>
    <t>Välj elmix</t>
  </si>
  <si>
    <t>Nordisk elmix</t>
  </si>
  <si>
    <t>EU-elmix</t>
  </si>
  <si>
    <t>Kolkondens</t>
  </si>
  <si>
    <t>EU-Elmix</t>
  </si>
  <si>
    <t>Emissioner, el</t>
  </si>
  <si>
    <t xml:space="preserve"> g CO2eq/MJ bränsle,</t>
  </si>
  <si>
    <t>Emissioner, ånga</t>
  </si>
  <si>
    <t>g CO2eq/MJolja</t>
  </si>
  <si>
    <t>Oljeutvinning</t>
  </si>
  <si>
    <t>Bonus vid eventuell överskottsel vid oljeutvinning.</t>
  </si>
  <si>
    <t>Oljeraffinering</t>
  </si>
  <si>
    <t>Ånga till olejutvinning</t>
  </si>
  <si>
    <t>Avgränsningar och antaganden</t>
  </si>
  <si>
    <t>Hur verktyget fungerar</t>
  </si>
  <si>
    <t>Total bonus</t>
  </si>
  <si>
    <t>Att anpassa modellen till egna produktionskedjor</t>
  </si>
  <si>
    <t>Klicka här för att se föreskrifterna STEMFS2011:2 (internetlänk).</t>
  </si>
  <si>
    <t>Att navigera i verktyget</t>
  </si>
  <si>
    <t>Värmevärde (MJ/ton)</t>
  </si>
  <si>
    <r>
      <t>Totala utsläpp (g CO</t>
    </r>
    <r>
      <rPr>
        <b/>
        <vertAlign val="subscript"/>
        <sz val="11"/>
        <rFont val="Calibri"/>
        <family val="2"/>
        <scheme val="minor"/>
      </rPr>
      <t>2eq</t>
    </r>
    <r>
      <rPr>
        <b/>
        <sz val="11"/>
        <rFont val="Calibri"/>
        <family val="2"/>
        <scheme val="minor"/>
      </rPr>
      <t>/MJ)</t>
    </r>
  </si>
  <si>
    <r>
      <t>Sker ändrad markanvändning (LUC), e</t>
    </r>
    <r>
      <rPr>
        <vertAlign val="subscript"/>
        <sz val="11"/>
        <color theme="1"/>
        <rFont val="Calibri"/>
        <family val="2"/>
        <scheme val="minor"/>
      </rPr>
      <t>l</t>
    </r>
    <r>
      <rPr>
        <sz val="11"/>
        <color theme="1"/>
        <rFont val="Calibri"/>
        <family val="2"/>
        <scheme val="minor"/>
      </rPr>
      <t>?</t>
    </r>
  </si>
  <si>
    <t>Samprodukt</t>
  </si>
  <si>
    <t>Är biooljan en restprodukt eller ett avfall Enligt STEMFS2011:2?</t>
  </si>
  <si>
    <t>Okänt ändamål</t>
  </si>
  <si>
    <t>Utsläppsminskning (jämfört med fossil motsvarighet)</t>
  </si>
  <si>
    <t>Dålig iso</t>
  </si>
  <si>
    <t>aktuell uppvärmningstemp[K], 323 K = 50 C</t>
  </si>
  <si>
    <t>Vägtransport eller sjötransport från raffinering/uppkomst till lagringsplats</t>
  </si>
  <si>
    <t>Vägtransport i Sverige till slutanvändarens lagringsplats/depå</t>
  </si>
  <si>
    <t>Lagring vid förbränningsanläggning</t>
  </si>
  <si>
    <t>Vägtransport eller sjötransport från hamn till lagring vid hamn i Sverige</t>
  </si>
  <si>
    <t>lagring vid hamn i Sverige</t>
  </si>
  <si>
    <t>Översikt och förklaring till modellen (flik "Växthusgasberäkning")</t>
  </si>
  <si>
    <t>Skriv in ursprungsland:</t>
  </si>
  <si>
    <t>Ursprungsland</t>
  </si>
  <si>
    <t>Från vilken världsdel importeras biooljan?</t>
  </si>
  <si>
    <t>Europa</t>
  </si>
  <si>
    <t>Oceanien</t>
  </si>
  <si>
    <t>Övriga regioner</t>
  </si>
  <si>
    <t>Bakgrundsdata (endast för information)</t>
  </si>
  <si>
    <t>OBS! Denna version av verktyget är anpassad för Microsoft Excel 2010. Använder du Excel 2007 måste du använda den andra versionen av detta verktyg (nedladdningsbart från Energimyndighetens hemsida).</t>
  </si>
  <si>
    <t>varav;    Lagring</t>
  </si>
  <si>
    <t>varav;   Oljeutvinning</t>
  </si>
  <si>
    <r>
      <t>Avskiljning och lagring CO</t>
    </r>
    <r>
      <rPr>
        <b/>
        <vertAlign val="subscript"/>
        <sz val="1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</si>
</sst>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r_-;\-* #,##0.00\ _k_r_-;_-* &quot;-&quot;??\ _k_r_-;_-@_-"/>
    <numFmt numFmtId="164" formatCode="0.0"/>
    <numFmt numFmtId="165" formatCode="0.00;[Red]0.00"/>
    <numFmt numFmtId="166" formatCode="0.000"/>
    <numFmt numFmtId="167" formatCode="0.0E+00"/>
    <numFmt numFmtId="168" formatCode="#,##0.0000"/>
    <numFmt numFmtId="169" formatCode="0.0%"/>
    <numFmt numFmtId="170" formatCode="_-* #,##0\ _k_r_-;\-* #,##0\ _k_r_-;_-* &quot;-&quot;??\ _k_r_-;_-@_-"/>
    <numFmt numFmtId="171" formatCode="_-* #,##0.000\ _k_r_-;\-* #,##0.000\ _k_r_-;_-* &quot;-&quot;??\ _k_r_-;_-@_-"/>
  </numFmts>
  <fonts count="60" x14ac:knownFonts="1">
    <font>
      <sz val="11"/>
      <color theme="1"/>
      <name val="Calibri"/>
      <family val="2"/>
      <scheme val="minor"/>
    </font>
    <font>
      <b/>
      <sz val="11"/>
      <color theme="1"/>
      <name val="Calibri"/>
      <family val="2"/>
      <scheme val="minor"/>
    </font>
    <font>
      <u/>
      <sz val="11"/>
      <color theme="10"/>
      <name val="Calibri"/>
      <family val="2"/>
      <scheme val="minor"/>
    </font>
    <font>
      <sz val="20"/>
      <color theme="1"/>
      <name val="Calibri"/>
      <family val="2"/>
      <scheme val="minor"/>
    </font>
    <font>
      <sz val="14"/>
      <color theme="1"/>
      <name val="Calibri"/>
      <family val="2"/>
      <scheme val="minor"/>
    </font>
    <font>
      <b/>
      <i/>
      <sz val="11"/>
      <color theme="1"/>
      <name val="Calibri"/>
      <family val="2"/>
      <scheme val="minor"/>
    </font>
    <font>
      <sz val="8"/>
      <color indexed="81"/>
      <name val="Tahoma"/>
      <family val="2"/>
    </font>
    <font>
      <b/>
      <sz val="8"/>
      <color indexed="81"/>
      <name val="Tahoma"/>
      <family val="2"/>
    </font>
    <font>
      <b/>
      <sz val="10"/>
      <name val="Arial"/>
      <family val="2"/>
    </font>
    <font>
      <sz val="9"/>
      <name val="Arial"/>
      <family val="2"/>
    </font>
    <font>
      <sz val="10"/>
      <color rgb="FFFF0000"/>
      <name val="Arial"/>
      <family val="2"/>
    </font>
    <font>
      <sz val="10"/>
      <color indexed="10"/>
      <name val="Arial"/>
      <family val="2"/>
    </font>
    <font>
      <vertAlign val="subscript"/>
      <sz val="9"/>
      <name val="Arial"/>
      <family val="2"/>
    </font>
    <font>
      <sz val="10"/>
      <name val="Arial"/>
      <family val="2"/>
    </font>
    <font>
      <b/>
      <sz val="15"/>
      <color theme="3"/>
      <name val="Calibri"/>
      <family val="2"/>
      <scheme val="minor"/>
    </font>
    <font>
      <b/>
      <sz val="13"/>
      <color theme="3"/>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2"/>
      <color rgb="FF3F3F3F"/>
      <name val="Calibri"/>
      <family val="2"/>
      <scheme val="minor"/>
    </font>
    <font>
      <vertAlign val="subscript"/>
      <sz val="11"/>
      <color rgb="FF3F3F76"/>
      <name val="Calibri"/>
      <family val="2"/>
      <scheme val="minor"/>
    </font>
    <font>
      <u/>
      <sz val="14"/>
      <color theme="10"/>
      <name val="Calibri"/>
      <family val="2"/>
      <scheme val="minor"/>
    </font>
    <font>
      <sz val="11"/>
      <color rgb="FFFF0000"/>
      <name val="Calibri"/>
      <family val="2"/>
      <scheme val="minor"/>
    </font>
    <font>
      <vertAlign val="subscript"/>
      <sz val="11"/>
      <color theme="1"/>
      <name val="Calibri"/>
      <family val="2"/>
      <scheme val="minor"/>
    </font>
    <font>
      <i/>
      <sz val="11"/>
      <color rgb="FF7F7F7F"/>
      <name val="Calibri"/>
      <family val="2"/>
      <scheme val="minor"/>
    </font>
    <font>
      <sz val="11"/>
      <color theme="0"/>
      <name val="Calibri"/>
      <family val="2"/>
      <scheme val="minor"/>
    </font>
    <font>
      <sz val="11"/>
      <name val="Calibri"/>
      <family val="2"/>
      <scheme val="minor"/>
    </font>
    <font>
      <b/>
      <sz val="18"/>
      <color theme="3"/>
      <name val="Cambria"/>
      <family val="2"/>
      <scheme val="major"/>
    </font>
    <font>
      <sz val="11"/>
      <color rgb="FF9C0006"/>
      <name val="Calibri"/>
      <family val="2"/>
      <scheme val="minor"/>
    </font>
    <font>
      <sz val="8"/>
      <color rgb="FF000000"/>
      <name val="Tahoma"/>
      <family val="2"/>
    </font>
    <font>
      <sz val="18"/>
      <name val="Calibri"/>
      <family val="2"/>
      <scheme val="minor"/>
    </font>
    <font>
      <sz val="20"/>
      <name val="Calibri"/>
      <family val="2"/>
      <scheme val="minor"/>
    </font>
    <font>
      <b/>
      <vertAlign val="subscript"/>
      <sz val="11"/>
      <color rgb="FF3F3F3F"/>
      <name val="Calibri"/>
      <family val="2"/>
      <scheme val="minor"/>
    </font>
    <font>
      <vertAlign val="superscript"/>
      <sz val="10"/>
      <name val="Arial"/>
      <family val="2"/>
    </font>
    <font>
      <vertAlign val="subscript"/>
      <sz val="10"/>
      <name val="Arial"/>
      <family val="2"/>
    </font>
    <font>
      <vertAlign val="subscript"/>
      <sz val="11"/>
      <name val="Calibri"/>
      <family val="2"/>
      <scheme val="minor"/>
    </font>
    <font>
      <i/>
      <sz val="11"/>
      <name val="Calibri"/>
      <family val="2"/>
      <scheme val="minor"/>
    </font>
    <font>
      <i/>
      <vertAlign val="subscript"/>
      <sz val="11"/>
      <name val="Calibri"/>
      <family val="2"/>
      <scheme val="minor"/>
    </font>
    <font>
      <sz val="9"/>
      <color rgb="FF3F3F76"/>
      <name val="Calibri"/>
      <family val="2"/>
      <scheme val="minor"/>
    </font>
    <font>
      <sz val="18"/>
      <color theme="1"/>
      <name val="Calibri"/>
      <family val="2"/>
      <scheme val="minor"/>
    </font>
    <font>
      <b/>
      <i/>
      <sz val="11"/>
      <name val="Calibri"/>
      <family val="2"/>
      <scheme val="minor"/>
    </font>
    <font>
      <i/>
      <sz val="12"/>
      <color rgb="FF7F7F7F"/>
      <name val="Calibri"/>
      <family val="2"/>
      <scheme val="minor"/>
    </font>
    <font>
      <b/>
      <sz val="11"/>
      <name val="Calibri"/>
      <family val="2"/>
      <scheme val="minor"/>
    </font>
    <font>
      <sz val="16"/>
      <name val="Calibri"/>
      <family val="2"/>
      <scheme val="minor"/>
    </font>
    <font>
      <vertAlign val="subscript"/>
      <sz val="16"/>
      <name val="Calibri"/>
      <family val="2"/>
      <scheme val="minor"/>
    </font>
    <font>
      <i/>
      <sz val="14"/>
      <color rgb="FF7F7F7F"/>
      <name val="Calibri"/>
      <family val="2"/>
      <scheme val="minor"/>
    </font>
    <font>
      <sz val="16"/>
      <color rgb="FF3F3F76"/>
      <name val="Calibri"/>
      <family val="2"/>
      <scheme val="minor"/>
    </font>
    <font>
      <b/>
      <u/>
      <sz val="11"/>
      <color theme="1"/>
      <name val="Calibri"/>
      <family val="2"/>
      <scheme val="minor"/>
    </font>
    <font>
      <b/>
      <sz val="18"/>
      <color theme="1"/>
      <name val="Calibri"/>
      <family val="2"/>
      <scheme val="minor"/>
    </font>
    <font>
      <b/>
      <sz val="24"/>
      <color rgb="FF3F3F3F"/>
      <name val="Calibri"/>
      <family val="2"/>
      <scheme val="minor"/>
    </font>
    <font>
      <sz val="26"/>
      <name val="Calibri"/>
      <family val="2"/>
      <scheme val="minor"/>
    </font>
    <font>
      <sz val="16"/>
      <color theme="1"/>
      <name val="Calibri"/>
      <family val="2"/>
      <scheme val="minor"/>
    </font>
    <font>
      <i/>
      <sz val="11"/>
      <color theme="1"/>
      <name val="Calibri"/>
      <family val="2"/>
      <scheme val="minor"/>
    </font>
    <font>
      <sz val="11"/>
      <color theme="5" tint="0.79998168889431442"/>
      <name val="Calibri"/>
      <family val="2"/>
      <scheme val="minor"/>
    </font>
    <font>
      <b/>
      <sz val="11"/>
      <color theme="5" tint="0.79998168889431442"/>
      <name val="Calibri"/>
      <family val="2"/>
      <scheme val="minor"/>
    </font>
    <font>
      <vertAlign val="superscript"/>
      <sz val="11"/>
      <color theme="1"/>
      <name val="Calibri"/>
      <family val="2"/>
      <scheme val="minor"/>
    </font>
    <font>
      <b/>
      <sz val="11"/>
      <color theme="3"/>
      <name val="Calibri"/>
      <family val="2"/>
      <scheme val="minor"/>
    </font>
    <font>
      <sz val="11"/>
      <color theme="4" tint="0.59999389629810485"/>
      <name val="Calibri"/>
      <family val="2"/>
      <scheme val="minor"/>
    </font>
    <font>
      <b/>
      <vertAlign val="subscript"/>
      <sz val="11"/>
      <name val="Calibri"/>
      <family val="2"/>
      <scheme val="minor"/>
    </font>
    <font>
      <i/>
      <sz val="11"/>
      <color rgb="FF3F3F3F"/>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tint="0.39997558519241921"/>
        <bgColor indexed="65"/>
      </patternFill>
    </fill>
    <fill>
      <patternFill patternType="solid">
        <fgColor rgb="FFFFC7CE"/>
      </patternFill>
    </fill>
    <fill>
      <patternFill patternType="solid">
        <fgColor theme="0"/>
        <bgColor indexed="64"/>
      </patternFill>
    </fill>
    <fill>
      <patternFill patternType="solid">
        <fgColor theme="5" tint="0.79998168889431442"/>
        <bgColor indexed="65"/>
      </patternFill>
    </fill>
    <fill>
      <patternFill patternType="solid">
        <fgColor theme="4"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39997558519241921"/>
        <bgColor indexed="64"/>
      </patternFill>
    </fill>
    <fill>
      <gradientFill type="path" left="0.5" right="0.5" top="0.5" bottom="0.5">
        <stop position="0">
          <color theme="0"/>
        </stop>
        <stop position="1">
          <color rgb="FF92D050"/>
        </stop>
      </gradientFill>
    </fill>
    <fill>
      <patternFill patternType="solid">
        <fgColor theme="7" tint="0.79998168889431442"/>
        <bgColor indexed="64"/>
      </patternFill>
    </fill>
    <fill>
      <patternFill patternType="solid">
        <fgColor theme="5" tint="0.79998168889431442"/>
        <bgColor indexed="64"/>
      </patternFill>
    </fill>
  </fills>
  <borders count="51">
    <border>
      <left/>
      <right/>
      <top/>
      <bottom/>
      <diagonal/>
    </border>
    <border>
      <left style="medium">
        <color auto="1"/>
      </left>
      <right style="medium">
        <color auto="1"/>
      </right>
      <top/>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top style="thin">
        <color theme="4"/>
      </top>
      <bottom style="double">
        <color theme="4"/>
      </bottom>
      <diagonal/>
    </border>
    <border>
      <left style="double">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style="double">
        <color auto="1"/>
      </top>
      <bottom/>
      <diagonal/>
    </border>
    <border>
      <left style="thin">
        <color rgb="FF7F7F7F"/>
      </left>
      <right/>
      <top/>
      <bottom/>
      <diagonal/>
    </border>
    <border>
      <left style="thin">
        <color rgb="FF7F7F7F"/>
      </left>
      <right style="thin">
        <color rgb="FF7F7F7F"/>
      </right>
      <top style="thin">
        <color rgb="FF7F7F7F"/>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rgb="FF3F3F3F"/>
      </right>
      <top/>
      <bottom/>
      <diagonal/>
    </border>
    <border>
      <left/>
      <right/>
      <top/>
      <bottom style="medium">
        <color theme="4" tint="0.39997558519241921"/>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s>
  <cellStyleXfs count="20">
    <xf numFmtId="0" fontId="0" fillId="0" borderId="0"/>
    <xf numFmtId="0" fontId="2"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17" fillId="8" borderId="10" applyNumberFormat="0" applyAlignment="0" applyProtection="0"/>
    <xf numFmtId="0" fontId="18" fillId="9" borderId="11" applyNumberFormat="0" applyAlignment="0" applyProtection="0"/>
    <xf numFmtId="0" fontId="16" fillId="10" borderId="12" applyNumberFormat="0" applyFont="0" applyAlignment="0" applyProtection="0"/>
    <xf numFmtId="9" fontId="16" fillId="0" borderId="0" applyFon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5" fillId="11" borderId="0" applyNumberFormat="0" applyBorder="0" applyAlignment="0" applyProtection="0"/>
    <xf numFmtId="0" fontId="28" fillId="12"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25" fillId="17" borderId="0" applyNumberFormat="0" applyBorder="0" applyAlignment="0" applyProtection="0"/>
    <xf numFmtId="0" fontId="16" fillId="18" borderId="0" applyNumberFormat="0" applyBorder="0" applyAlignment="0" applyProtection="0"/>
    <xf numFmtId="0" fontId="1" fillId="0" borderId="30" applyNumberFormat="0" applyFill="0" applyAlignment="0" applyProtection="0"/>
    <xf numFmtId="0" fontId="56" fillId="0" borderId="48" applyNumberFormat="0" applyFill="0" applyAlignment="0" applyProtection="0"/>
    <xf numFmtId="43" fontId="16" fillId="0" borderId="0" applyFont="0" applyFill="0" applyBorder="0" applyAlignment="0" applyProtection="0"/>
  </cellStyleXfs>
  <cellXfs count="347">
    <xf numFmtId="0" fontId="0" fillId="0" borderId="0" xfId="0"/>
    <xf numFmtId="0" fontId="0" fillId="2" borderId="0" xfId="0" applyFill="1"/>
    <xf numFmtId="0" fontId="0" fillId="0" borderId="0" xfId="0" applyFill="1"/>
    <xf numFmtId="0" fontId="3" fillId="0" borderId="0" xfId="0" applyFont="1"/>
    <xf numFmtId="0" fontId="1" fillId="0" borderId="0" xfId="0" applyFont="1"/>
    <xf numFmtId="164" fontId="0" fillId="0" borderId="0" xfId="0" applyNumberFormat="1"/>
    <xf numFmtId="1" fontId="0" fillId="0" borderId="0" xfId="0" applyNumberFormat="1"/>
    <xf numFmtId="0" fontId="0" fillId="0" borderId="0" xfId="0" applyFont="1"/>
    <xf numFmtId="0" fontId="1" fillId="2" borderId="0" xfId="0" applyFont="1" applyFill="1" applyBorder="1" applyAlignment="1">
      <alignment wrapText="1"/>
    </xf>
    <xf numFmtId="0" fontId="1" fillId="2" borderId="1" xfId="0" applyFont="1" applyFill="1" applyBorder="1" applyAlignment="1">
      <alignment textRotation="90" wrapText="1"/>
    </xf>
    <xf numFmtId="0" fontId="1" fillId="2" borderId="0" xfId="0" applyFont="1" applyFill="1" applyBorder="1" applyAlignment="1">
      <alignment textRotation="90" wrapText="1"/>
    </xf>
    <xf numFmtId="0" fontId="8" fillId="4" borderId="0" xfId="0" applyFont="1" applyFill="1" applyBorder="1"/>
    <xf numFmtId="0" fontId="8" fillId="4" borderId="0" xfId="0" applyFont="1" applyFill="1" applyAlignment="1"/>
    <xf numFmtId="0" fontId="8" fillId="4" borderId="2" xfId="0" applyFont="1" applyFill="1" applyBorder="1"/>
    <xf numFmtId="0" fontId="8" fillId="4" borderId="0" xfId="0" applyFont="1" applyFill="1"/>
    <xf numFmtId="0" fontId="0" fillId="4" borderId="0" xfId="0" applyFill="1"/>
    <xf numFmtId="0" fontId="0" fillId="5" borderId="2" xfId="0" applyFill="1" applyBorder="1"/>
    <xf numFmtId="0" fontId="0" fillId="5" borderId="0" xfId="0" applyFill="1"/>
    <xf numFmtId="0" fontId="8" fillId="4" borderId="0" xfId="0" applyNumberFormat="1" applyFont="1" applyFill="1" applyBorder="1" applyAlignment="1"/>
    <xf numFmtId="0" fontId="8" fillId="5" borderId="2" xfId="0" applyFont="1" applyFill="1" applyBorder="1"/>
    <xf numFmtId="0" fontId="8" fillId="5" borderId="0" xfId="0" applyFont="1" applyFill="1"/>
    <xf numFmtId="0" fontId="0" fillId="6" borderId="0" xfId="0" applyFill="1"/>
    <xf numFmtId="0" fontId="8" fillId="6" borderId="0" xfId="0" applyFont="1" applyFill="1"/>
    <xf numFmtId="0" fontId="9" fillId="4" borderId="4" xfId="0" applyFont="1" applyFill="1" applyBorder="1" applyAlignment="1"/>
    <xf numFmtId="165" fontId="0" fillId="4" borderId="0" xfId="0" applyNumberFormat="1" applyFont="1" applyFill="1" applyBorder="1" applyAlignment="1"/>
    <xf numFmtId="11" fontId="0" fillId="5" borderId="2" xfId="0" applyNumberFormat="1" applyFont="1" applyFill="1" applyBorder="1" applyAlignment="1"/>
    <xf numFmtId="165" fontId="0" fillId="5" borderId="0" xfId="0" applyNumberFormat="1" applyFont="1" applyFill="1" applyBorder="1" applyAlignment="1"/>
    <xf numFmtId="11" fontId="0" fillId="5" borderId="0" xfId="0" applyNumberFormat="1" applyFont="1" applyFill="1" applyBorder="1" applyAlignment="1"/>
    <xf numFmtId="11" fontId="0" fillId="6" borderId="0" xfId="0" applyNumberFormat="1" applyFill="1"/>
    <xf numFmtId="11" fontId="8" fillId="4" borderId="0" xfId="0" applyNumberFormat="1" applyFont="1" applyFill="1"/>
    <xf numFmtId="165" fontId="0" fillId="5" borderId="2" xfId="0" applyNumberFormat="1" applyFont="1" applyFill="1" applyBorder="1" applyAlignment="1"/>
    <xf numFmtId="11" fontId="0" fillId="4" borderId="0" xfId="0" applyNumberFormat="1" applyFill="1"/>
    <xf numFmtId="2" fontId="0" fillId="4" borderId="0" xfId="0" applyNumberFormat="1" applyFill="1"/>
    <xf numFmtId="166" fontId="0" fillId="4" borderId="0" xfId="0" applyNumberFormat="1" applyFill="1"/>
    <xf numFmtId="11" fontId="0" fillId="5" borderId="2" xfId="0" applyNumberFormat="1" applyFill="1" applyBorder="1"/>
    <xf numFmtId="11" fontId="0" fillId="6" borderId="2" xfId="0" applyNumberFormat="1" applyFill="1" applyBorder="1"/>
    <xf numFmtId="167" fontId="0" fillId="6" borderId="2" xfId="0" applyNumberFormat="1" applyFill="1" applyBorder="1"/>
    <xf numFmtId="167" fontId="0" fillId="5" borderId="2" xfId="0" applyNumberFormat="1" applyFill="1" applyBorder="1"/>
    <xf numFmtId="165" fontId="0" fillId="4" borderId="0" xfId="0" applyNumberFormat="1" applyFill="1"/>
    <xf numFmtId="0" fontId="0" fillId="4" borderId="0" xfId="0" applyNumberFormat="1" applyFont="1" applyFill="1" applyBorder="1" applyAlignment="1">
      <alignment horizontal="left" indent="4"/>
    </xf>
    <xf numFmtId="165" fontId="0" fillId="4" borderId="0" xfId="0" applyNumberFormat="1" applyFill="1" applyBorder="1" applyAlignment="1"/>
    <xf numFmtId="11" fontId="0" fillId="4" borderId="0" xfId="0" applyNumberFormat="1" applyFont="1" applyFill="1" applyBorder="1" applyAlignment="1"/>
    <xf numFmtId="0" fontId="9" fillId="4" borderId="5" xfId="0" applyFont="1" applyFill="1" applyBorder="1" applyAlignment="1"/>
    <xf numFmtId="11" fontId="10" fillId="5" borderId="0" xfId="0" applyNumberFormat="1" applyFont="1" applyFill="1" applyBorder="1" applyAlignment="1"/>
    <xf numFmtId="11" fontId="0" fillId="4" borderId="0" xfId="0" applyNumberFormat="1" applyFill="1" applyBorder="1" applyAlignment="1"/>
    <xf numFmtId="0" fontId="9" fillId="4" borderId="6" xfId="0" applyFont="1" applyFill="1" applyBorder="1" applyAlignment="1"/>
    <xf numFmtId="11" fontId="11" fillId="5" borderId="0" xfId="0" applyNumberFormat="1" applyFont="1" applyFill="1" applyBorder="1" applyAlignment="1"/>
    <xf numFmtId="11" fontId="11" fillId="5" borderId="0" xfId="0" applyNumberFormat="1" applyFont="1" applyFill="1"/>
    <xf numFmtId="11" fontId="0" fillId="5" borderId="0" xfId="0" applyNumberFormat="1" applyFill="1"/>
    <xf numFmtId="0" fontId="0" fillId="4" borderId="0" xfId="0" applyNumberFormat="1" applyFill="1" applyBorder="1" applyAlignment="1">
      <alignment horizontal="left" indent="4"/>
    </xf>
    <xf numFmtId="0" fontId="9" fillId="4" borderId="7" xfId="0" applyFont="1" applyFill="1" applyBorder="1" applyAlignment="1"/>
    <xf numFmtId="0" fontId="0" fillId="6" borderId="0" xfId="0" applyNumberFormat="1" applyFill="1" applyBorder="1" applyAlignment="1">
      <alignment horizontal="left" indent="4"/>
    </xf>
    <xf numFmtId="0" fontId="0" fillId="6" borderId="0" xfId="0" applyNumberFormat="1" applyFont="1" applyFill="1" applyBorder="1" applyAlignment="1">
      <alignment horizontal="left" indent="4"/>
    </xf>
    <xf numFmtId="0" fontId="0" fillId="4" borderId="2" xfId="0" applyFill="1" applyBorder="1"/>
    <xf numFmtId="0" fontId="13" fillId="4" borderId="0" xfId="0" applyFont="1" applyFill="1" applyBorder="1"/>
    <xf numFmtId="0" fontId="13" fillId="4" borderId="0" xfId="0" applyFont="1" applyFill="1"/>
    <xf numFmtId="0" fontId="13" fillId="4" borderId="2" xfId="0" applyFont="1" applyFill="1" applyBorder="1"/>
    <xf numFmtId="166" fontId="13" fillId="4" borderId="0" xfId="0" applyNumberFormat="1" applyFont="1" applyFill="1"/>
    <xf numFmtId="0" fontId="0" fillId="7" borderId="0" xfId="0" applyFill="1"/>
    <xf numFmtId="164" fontId="0" fillId="7" borderId="0" xfId="0" applyNumberFormat="1" applyFill="1"/>
    <xf numFmtId="0" fontId="15" fillId="0" borderId="9" xfId="3"/>
    <xf numFmtId="0" fontId="17" fillId="8" borderId="10" xfId="4"/>
    <xf numFmtId="0" fontId="18" fillId="9" borderId="11" xfId="5"/>
    <xf numFmtId="0" fontId="19" fillId="9" borderId="11" xfId="5" applyFont="1"/>
    <xf numFmtId="0" fontId="19" fillId="9" borderId="13" xfId="5" applyFont="1" applyBorder="1"/>
    <xf numFmtId="0" fontId="19" fillId="9" borderId="0" xfId="5" applyFont="1" applyBorder="1"/>
    <xf numFmtId="0" fontId="21" fillId="10" borderId="12" xfId="6" applyFont="1"/>
    <xf numFmtId="2" fontId="17" fillId="8" borderId="10" xfId="4" applyNumberFormat="1"/>
    <xf numFmtId="0" fontId="22" fillId="0" borderId="0" xfId="0" applyFont="1"/>
    <xf numFmtId="0" fontId="17" fillId="10" borderId="12" xfId="6" applyFont="1"/>
    <xf numFmtId="1" fontId="18" fillId="9" borderId="11" xfId="5" applyNumberFormat="1"/>
    <xf numFmtId="0" fontId="25" fillId="0" borderId="0" xfId="0" applyFont="1" applyFill="1"/>
    <xf numFmtId="0" fontId="0" fillId="7" borderId="0" xfId="0" applyFont="1" applyFill="1"/>
    <xf numFmtId="0" fontId="26" fillId="0" borderId="0" xfId="0" applyFont="1" applyFill="1"/>
    <xf numFmtId="0" fontId="0" fillId="0" borderId="0" xfId="0" applyFont="1" applyFill="1"/>
    <xf numFmtId="0" fontId="0" fillId="13" borderId="0" xfId="0" applyFill="1"/>
    <xf numFmtId="0" fontId="26" fillId="13" borderId="0" xfId="0" applyFont="1" applyFill="1"/>
    <xf numFmtId="0" fontId="5" fillId="13" borderId="0" xfId="0" applyFont="1" applyFill="1"/>
    <xf numFmtId="0" fontId="25" fillId="13" borderId="0" xfId="0" applyFont="1" applyFill="1"/>
    <xf numFmtId="0" fontId="5" fillId="13" borderId="14" xfId="0" applyFont="1" applyFill="1" applyBorder="1"/>
    <xf numFmtId="0" fontId="0" fillId="13" borderId="15" xfId="0" applyFill="1" applyBorder="1"/>
    <xf numFmtId="0" fontId="25" fillId="13" borderId="15" xfId="0" applyFont="1" applyFill="1" applyBorder="1"/>
    <xf numFmtId="0" fontId="0" fillId="13" borderId="16" xfId="0" applyFill="1" applyBorder="1"/>
    <xf numFmtId="0" fontId="5" fillId="13" borderId="17" xfId="0" applyFont="1" applyFill="1" applyBorder="1"/>
    <xf numFmtId="0" fontId="0" fillId="13" borderId="0" xfId="0" applyFill="1" applyBorder="1"/>
    <xf numFmtId="0" fontId="25" fillId="13" borderId="0" xfId="0" applyFont="1" applyFill="1" applyBorder="1"/>
    <xf numFmtId="0" fontId="0" fillId="13" borderId="18" xfId="0" applyFill="1" applyBorder="1"/>
    <xf numFmtId="0" fontId="5" fillId="13" borderId="19" xfId="0" applyFont="1" applyFill="1" applyBorder="1"/>
    <xf numFmtId="0" fontId="0" fillId="13" borderId="20" xfId="0" applyFill="1" applyBorder="1"/>
    <xf numFmtId="0" fontId="25" fillId="13" borderId="20" xfId="0" applyFont="1" applyFill="1" applyBorder="1"/>
    <xf numFmtId="0" fontId="0" fillId="13" borderId="21" xfId="0" applyFill="1" applyBorder="1"/>
    <xf numFmtId="0" fontId="24" fillId="0" borderId="0" xfId="8" applyAlignment="1">
      <alignment wrapText="1"/>
    </xf>
    <xf numFmtId="0" fontId="28" fillId="12" borderId="0" xfId="11"/>
    <xf numFmtId="3" fontId="18" fillId="9" borderId="11" xfId="5" applyNumberFormat="1"/>
    <xf numFmtId="166" fontId="0" fillId="0" borderId="0" xfId="0" applyNumberFormat="1"/>
    <xf numFmtId="2" fontId="0" fillId="0" borderId="0" xfId="0" applyNumberFormat="1"/>
    <xf numFmtId="0" fontId="0" fillId="0" borderId="0" xfId="0" applyAlignment="1"/>
    <xf numFmtId="0" fontId="16" fillId="14" borderId="14" xfId="12" applyBorder="1"/>
    <xf numFmtId="0" fontId="1" fillId="14" borderId="17" xfId="12" applyFont="1" applyBorder="1"/>
    <xf numFmtId="0" fontId="1" fillId="14" borderId="19" xfId="12" applyFont="1" applyBorder="1"/>
    <xf numFmtId="0" fontId="1" fillId="14" borderId="15" xfId="12" applyFont="1" applyBorder="1" applyAlignment="1">
      <alignment wrapText="1"/>
    </xf>
    <xf numFmtId="2" fontId="18" fillId="9" borderId="11" xfId="5" applyNumberFormat="1"/>
    <xf numFmtId="0" fontId="4" fillId="13" borderId="17" xfId="0" applyFont="1" applyFill="1" applyBorder="1"/>
    <xf numFmtId="0" fontId="30" fillId="0" borderId="0" xfId="0" applyFont="1" applyFill="1"/>
    <xf numFmtId="0" fontId="31" fillId="0" borderId="0" xfId="0" applyFont="1" applyFill="1"/>
    <xf numFmtId="0" fontId="1" fillId="0" borderId="0" xfId="0" applyFont="1" applyFill="1"/>
    <xf numFmtId="0" fontId="15" fillId="13" borderId="9" xfId="3" applyFill="1"/>
    <xf numFmtId="0" fontId="27" fillId="13" borderId="8" xfId="9" applyFill="1" applyBorder="1"/>
    <xf numFmtId="0" fontId="0" fillId="0" borderId="0" xfId="0" applyAlignment="1">
      <alignment horizontal="left"/>
    </xf>
    <xf numFmtId="0" fontId="0" fillId="0" borderId="0" xfId="0" applyFill="1" applyAlignment="1">
      <alignment horizontal="left"/>
    </xf>
    <xf numFmtId="0" fontId="24" fillId="3" borderId="0" xfId="8" applyFill="1" applyAlignment="1">
      <alignment horizontal="left"/>
    </xf>
    <xf numFmtId="0" fontId="24" fillId="3" borderId="0" xfId="8" applyFill="1" applyBorder="1" applyAlignment="1">
      <alignment horizontal="left"/>
    </xf>
    <xf numFmtId="0" fontId="0" fillId="3" borderId="0" xfId="0" applyFill="1" applyAlignment="1">
      <alignment horizontal="left"/>
    </xf>
    <xf numFmtId="0" fontId="4" fillId="3" borderId="0" xfId="0" applyFont="1" applyFill="1" applyAlignment="1">
      <alignment horizontal="left"/>
    </xf>
    <xf numFmtId="9" fontId="0" fillId="3" borderId="0" xfId="7" applyFont="1" applyFill="1" applyAlignment="1">
      <alignment horizontal="left"/>
    </xf>
    <xf numFmtId="0" fontId="26" fillId="3" borderId="0" xfId="0" applyFont="1" applyFill="1" applyAlignment="1">
      <alignment horizontal="left"/>
    </xf>
    <xf numFmtId="9" fontId="0" fillId="3" borderId="0" xfId="0" applyNumberFormat="1" applyFill="1" applyAlignment="1">
      <alignment horizontal="left"/>
    </xf>
    <xf numFmtId="166" fontId="0" fillId="7" borderId="0" xfId="0" applyNumberFormat="1" applyFill="1"/>
    <xf numFmtId="0" fontId="18" fillId="9" borderId="11" xfId="5" applyAlignment="1">
      <alignment horizontal="right"/>
    </xf>
    <xf numFmtId="0" fontId="17" fillId="8" borderId="25" xfId="4" applyBorder="1"/>
    <xf numFmtId="166" fontId="16" fillId="14" borderId="0" xfId="12" applyNumberFormat="1" applyBorder="1"/>
    <xf numFmtId="166" fontId="16" fillId="14" borderId="18" xfId="12" applyNumberFormat="1" applyBorder="1"/>
    <xf numFmtId="166" fontId="16" fillId="14" borderId="20" xfId="12" applyNumberFormat="1" applyBorder="1"/>
    <xf numFmtId="166" fontId="16" fillId="14" borderId="21" xfId="12" applyNumberFormat="1" applyBorder="1"/>
    <xf numFmtId="3" fontId="19" fillId="9" borderId="11" xfId="5" applyNumberFormat="1" applyFont="1"/>
    <xf numFmtId="4" fontId="19" fillId="9" borderId="11" xfId="5" applyNumberFormat="1" applyFont="1"/>
    <xf numFmtId="168" fontId="19" fillId="9" borderId="11" xfId="5" applyNumberFormat="1" applyFont="1"/>
    <xf numFmtId="0" fontId="0" fillId="19" borderId="0" xfId="0" applyFill="1"/>
    <xf numFmtId="9" fontId="18" fillId="9" borderId="11" xfId="5" applyNumberFormat="1"/>
    <xf numFmtId="0" fontId="39" fillId="0" borderId="0" xfId="0" applyFont="1"/>
    <xf numFmtId="22" fontId="16" fillId="15" borderId="0" xfId="13" applyNumberFormat="1" applyBorder="1"/>
    <xf numFmtId="0" fontId="16" fillId="15" borderId="0" xfId="13" applyBorder="1"/>
    <xf numFmtId="0" fontId="16" fillId="18" borderId="0" xfId="16" applyBorder="1"/>
    <xf numFmtId="0" fontId="26" fillId="17" borderId="0" xfId="15" applyFont="1" applyBorder="1"/>
    <xf numFmtId="0" fontId="14" fillId="13" borderId="0" xfId="2" applyFill="1" applyBorder="1" applyAlignment="1">
      <alignment horizontal="center"/>
    </xf>
    <xf numFmtId="0" fontId="17" fillId="8" borderId="29" xfId="4" applyBorder="1"/>
    <xf numFmtId="2" fontId="18" fillId="9" borderId="11" xfId="5" applyNumberFormat="1" applyAlignment="1">
      <alignment horizontal="right"/>
    </xf>
    <xf numFmtId="0" fontId="26" fillId="11" borderId="0" xfId="10" applyFont="1" applyBorder="1"/>
    <xf numFmtId="0" fontId="26" fillId="11" borderId="0" xfId="10" applyFont="1" applyBorder="1" applyAlignment="1">
      <alignment horizontal="left"/>
    </xf>
    <xf numFmtId="0" fontId="30" fillId="11" borderId="0" xfId="10" applyFont="1" applyBorder="1"/>
    <xf numFmtId="0" fontId="36" fillId="11" borderId="0" xfId="10" applyFont="1" applyBorder="1"/>
    <xf numFmtId="22" fontId="26" fillId="11" borderId="0" xfId="10" applyNumberFormat="1" applyFont="1" applyBorder="1"/>
    <xf numFmtId="0" fontId="16" fillId="16" borderId="0" xfId="14" applyBorder="1"/>
    <xf numFmtId="0" fontId="1" fillId="15" borderId="0" xfId="13" applyFont="1" applyBorder="1"/>
    <xf numFmtId="0" fontId="0" fillId="18" borderId="0" xfId="16" applyFont="1" applyBorder="1"/>
    <xf numFmtId="0" fontId="0" fillId="16" borderId="0" xfId="14" applyFont="1" applyBorder="1"/>
    <xf numFmtId="0" fontId="0" fillId="15" borderId="0" xfId="13" applyFont="1" applyBorder="1"/>
    <xf numFmtId="0" fontId="25" fillId="17" borderId="0" xfId="15" applyBorder="1"/>
    <xf numFmtId="0" fontId="39" fillId="0" borderId="0" xfId="0" applyFont="1" applyBorder="1"/>
    <xf numFmtId="0" fontId="0" fillId="0" borderId="0" xfId="0" applyFill="1" applyBorder="1"/>
    <xf numFmtId="0" fontId="0" fillId="0" borderId="0" xfId="0" applyBorder="1"/>
    <xf numFmtId="0" fontId="39" fillId="0" borderId="0" xfId="13" applyFont="1" applyFill="1" applyBorder="1"/>
    <xf numFmtId="0" fontId="24" fillId="18" borderId="0" xfId="8" applyFill="1" applyBorder="1"/>
    <xf numFmtId="0" fontId="16" fillId="15" borderId="0" xfId="13" applyBorder="1" applyAlignment="1">
      <alignment wrapText="1"/>
    </xf>
    <xf numFmtId="1" fontId="18" fillId="9" borderId="11" xfId="5" applyNumberFormat="1" applyAlignment="1">
      <alignment horizontal="right"/>
    </xf>
    <xf numFmtId="0" fontId="22" fillId="13" borderId="0" xfId="0" applyFont="1" applyFill="1"/>
    <xf numFmtId="0" fontId="41" fillId="0" borderId="0" xfId="8" applyFont="1" applyAlignment="1">
      <alignment wrapText="1"/>
    </xf>
    <xf numFmtId="0" fontId="17" fillId="8" borderId="10" xfId="4" applyProtection="1">
      <protection locked="0"/>
    </xf>
    <xf numFmtId="2" fontId="18" fillId="9" borderId="11" xfId="5" applyNumberFormat="1" applyBorder="1"/>
    <xf numFmtId="3" fontId="0" fillId="0" borderId="0" xfId="0" applyNumberFormat="1"/>
    <xf numFmtId="9" fontId="16" fillId="18" borderId="0" xfId="7" applyFill="1" applyBorder="1"/>
    <xf numFmtId="0" fontId="0" fillId="0" borderId="0" xfId="0"/>
    <xf numFmtId="0" fontId="1" fillId="0" borderId="0" xfId="0" applyFont="1" applyAlignment="1">
      <alignment wrapText="1"/>
    </xf>
    <xf numFmtId="2" fontId="18" fillId="9" borderId="11" xfId="5" applyNumberFormat="1" applyAlignment="1">
      <alignment horizontal="center"/>
    </xf>
    <xf numFmtId="0" fontId="14" fillId="18" borderId="0" xfId="2" applyFill="1" applyBorder="1" applyAlignment="1">
      <alignment horizontal="center"/>
    </xf>
    <xf numFmtId="0" fontId="14" fillId="16" borderId="0" xfId="2" applyFill="1" applyBorder="1" applyAlignment="1">
      <alignment horizontal="center"/>
    </xf>
    <xf numFmtId="0" fontId="16" fillId="15" borderId="0" xfId="13" applyFont="1" applyBorder="1"/>
    <xf numFmtId="0" fontId="40" fillId="13" borderId="0" xfId="0" applyFont="1" applyFill="1"/>
    <xf numFmtId="0" fontId="26" fillId="0" borderId="0" xfId="0" applyFont="1"/>
    <xf numFmtId="0" fontId="18" fillId="9" borderId="11" xfId="5" applyBorder="1" applyAlignment="1">
      <alignment horizontal="right"/>
    </xf>
    <xf numFmtId="2" fontId="18" fillId="9" borderId="11" xfId="5" applyNumberFormat="1" applyBorder="1" applyAlignment="1">
      <alignment horizontal="right"/>
    </xf>
    <xf numFmtId="0" fontId="0" fillId="22" borderId="0" xfId="0" applyFill="1"/>
    <xf numFmtId="0" fontId="15" fillId="22" borderId="9" xfId="3" applyFill="1"/>
    <xf numFmtId="0" fontId="26" fillId="21" borderId="0" xfId="10" applyFont="1" applyFill="1" applyBorder="1"/>
    <xf numFmtId="0" fontId="43" fillId="21" borderId="0" xfId="10" applyFont="1" applyFill="1" applyBorder="1" applyAlignment="1">
      <alignment horizontal="right"/>
    </xf>
    <xf numFmtId="0" fontId="30" fillId="21" borderId="0" xfId="10" applyFont="1" applyFill="1" applyBorder="1"/>
    <xf numFmtId="0" fontId="26" fillId="21" borderId="0" xfId="10" applyFont="1" applyFill="1" applyBorder="1" applyAlignment="1">
      <alignment horizontal="right"/>
    </xf>
    <xf numFmtId="0" fontId="36" fillId="21" borderId="0" xfId="10" applyFont="1" applyFill="1" applyBorder="1" applyAlignment="1">
      <alignment horizontal="left" indent="6"/>
    </xf>
    <xf numFmtId="0" fontId="26" fillId="21" borderId="0" xfId="10" applyFont="1" applyFill="1" applyBorder="1" applyAlignment="1">
      <alignment horizontal="center"/>
    </xf>
    <xf numFmtId="0" fontId="30" fillId="21" borderId="0" xfId="10" applyFont="1" applyFill="1" applyBorder="1" applyAlignment="1">
      <alignment horizontal="right"/>
    </xf>
    <xf numFmtId="0" fontId="45" fillId="0" borderId="0" xfId="8" applyFont="1" applyAlignment="1">
      <alignment wrapText="1"/>
    </xf>
    <xf numFmtId="0" fontId="14" fillId="15" borderId="0" xfId="2" applyFill="1" applyBorder="1" applyAlignment="1"/>
    <xf numFmtId="0" fontId="0" fillId="15" borderId="0" xfId="13" applyFont="1" applyBorder="1" applyAlignment="1">
      <alignment horizontal="left" wrapText="1"/>
    </xf>
    <xf numFmtId="0" fontId="0" fillId="0" borderId="0" xfId="0"/>
    <xf numFmtId="0" fontId="0" fillId="0" borderId="0" xfId="0"/>
    <xf numFmtId="0" fontId="1" fillId="20" borderId="0" xfId="0" applyFont="1" applyFill="1"/>
    <xf numFmtId="0" fontId="47" fillId="15" borderId="0" xfId="13" applyFont="1" applyBorder="1"/>
    <xf numFmtId="0" fontId="0" fillId="3" borderId="0" xfId="0" applyFill="1"/>
    <xf numFmtId="0" fontId="14" fillId="22" borderId="8" xfId="2" applyFill="1"/>
    <xf numFmtId="0" fontId="42" fillId="21" borderId="45" xfId="10" applyFont="1" applyFill="1" applyBorder="1"/>
    <xf numFmtId="0" fontId="0" fillId="0" borderId="0" xfId="0"/>
    <xf numFmtId="0" fontId="0" fillId="15" borderId="0" xfId="13" applyFont="1" applyBorder="1" applyAlignment="1">
      <alignment wrapText="1"/>
    </xf>
    <xf numFmtId="0" fontId="0" fillId="0" borderId="0" xfId="0"/>
    <xf numFmtId="0" fontId="42" fillId="21" borderId="0" xfId="10" applyFont="1" applyFill="1" applyBorder="1"/>
    <xf numFmtId="0" fontId="0" fillId="21" borderId="0" xfId="0" applyFill="1" applyBorder="1"/>
    <xf numFmtId="0" fontId="1" fillId="21" borderId="0" xfId="17" applyFill="1" applyBorder="1"/>
    <xf numFmtId="22" fontId="26" fillId="21" borderId="0" xfId="10" applyNumberFormat="1" applyFont="1" applyFill="1" applyBorder="1"/>
    <xf numFmtId="0" fontId="26" fillId="0" borderId="0" xfId="10" applyFont="1" applyFill="1" applyBorder="1"/>
    <xf numFmtId="0" fontId="31" fillId="21" borderId="0" xfId="10" applyFont="1" applyFill="1" applyBorder="1"/>
    <xf numFmtId="0" fontId="0" fillId="21" borderId="0" xfId="0" applyFill="1"/>
    <xf numFmtId="22" fontId="26" fillId="0" borderId="0" xfId="10" applyNumberFormat="1" applyFont="1" applyFill="1" applyBorder="1"/>
    <xf numFmtId="0" fontId="1" fillId="0" borderId="0" xfId="13" applyFont="1" applyFill="1" applyBorder="1"/>
    <xf numFmtId="9" fontId="49" fillId="9" borderId="11" xfId="5" applyNumberFormat="1" applyFont="1" applyAlignment="1">
      <alignment horizontal="center"/>
    </xf>
    <xf numFmtId="0" fontId="26" fillId="0" borderId="0" xfId="0" applyFont="1" applyBorder="1"/>
    <xf numFmtId="0" fontId="0" fillId="0" borderId="0" xfId="0"/>
    <xf numFmtId="0" fontId="0" fillId="23" borderId="0" xfId="0" applyFill="1"/>
    <xf numFmtId="2" fontId="0" fillId="23" borderId="0" xfId="0" applyNumberFormat="1" applyFill="1"/>
    <xf numFmtId="0" fontId="1" fillId="23" borderId="0" xfId="0" applyFont="1" applyFill="1"/>
    <xf numFmtId="169" fontId="18" fillId="9" borderId="11" xfId="7" applyNumberFormat="1" applyFont="1" applyFill="1" applyBorder="1"/>
    <xf numFmtId="164" fontId="18" fillId="9" borderId="11" xfId="5" applyNumberFormat="1"/>
    <xf numFmtId="0" fontId="51" fillId="3" borderId="0" xfId="0" applyFont="1" applyFill="1" applyBorder="1" applyAlignment="1">
      <alignment horizontal="center" vertical="center" textRotation="90" wrapText="1"/>
    </xf>
    <xf numFmtId="0" fontId="0" fillId="0" borderId="0" xfId="0" applyBorder="1"/>
    <xf numFmtId="0" fontId="0" fillId="0" borderId="0" xfId="0"/>
    <xf numFmtId="0" fontId="52" fillId="15" borderId="0" xfId="13" applyFont="1" applyBorder="1"/>
    <xf numFmtId="0" fontId="26" fillId="5" borderId="0" xfId="15" applyFont="1" applyFill="1" applyBorder="1"/>
    <xf numFmtId="0" fontId="16" fillId="25" borderId="0" xfId="16" applyFill="1" applyBorder="1"/>
    <xf numFmtId="0" fontId="51" fillId="0" borderId="0" xfId="0" applyFont="1" applyFill="1" applyBorder="1" applyAlignment="1">
      <alignment horizontal="left" textRotation="90" wrapText="1"/>
    </xf>
    <xf numFmtId="0" fontId="0" fillId="20" borderId="0" xfId="0" applyFill="1"/>
    <xf numFmtId="0" fontId="0" fillId="25" borderId="0" xfId="0" applyFill="1"/>
    <xf numFmtId="0" fontId="0" fillId="25" borderId="0" xfId="0" applyFill="1" applyAlignment="1">
      <alignment horizontal="right"/>
    </xf>
    <xf numFmtId="0" fontId="0" fillId="5" borderId="0" xfId="14" applyFont="1" applyFill="1" applyBorder="1"/>
    <xf numFmtId="0" fontId="22" fillId="5" borderId="0" xfId="14" applyFont="1" applyFill="1" applyBorder="1"/>
    <xf numFmtId="0" fontId="16" fillId="5" borderId="0" xfId="14" applyFill="1" applyBorder="1"/>
    <xf numFmtId="0" fontId="26" fillId="18" borderId="0" xfId="16" applyFont="1" applyBorder="1"/>
    <xf numFmtId="0" fontId="26" fillId="25" borderId="0" xfId="16" applyFont="1" applyFill="1" applyBorder="1"/>
    <xf numFmtId="0" fontId="53" fillId="25" borderId="0" xfId="16" applyFont="1" applyFill="1" applyBorder="1"/>
    <xf numFmtId="2" fontId="54" fillId="25" borderId="0" xfId="5" applyNumberFormat="1" applyFont="1" applyFill="1" applyBorder="1"/>
    <xf numFmtId="166" fontId="54" fillId="25" borderId="0" xfId="5" applyNumberFormat="1" applyFont="1" applyFill="1" applyBorder="1"/>
    <xf numFmtId="0" fontId="0" fillId="0" borderId="0" xfId="0" applyBorder="1"/>
    <xf numFmtId="0" fontId="0" fillId="0" borderId="0" xfId="0"/>
    <xf numFmtId="2" fontId="54" fillId="25" borderId="0" xfId="5" applyNumberFormat="1" applyFont="1" applyFill="1" applyBorder="1" applyAlignment="1">
      <alignment horizontal="right"/>
    </xf>
    <xf numFmtId="0" fontId="0" fillId="18" borderId="0" xfId="16" applyFont="1" applyBorder="1" applyAlignment="1">
      <alignment wrapText="1"/>
    </xf>
    <xf numFmtId="0" fontId="25" fillId="0" borderId="0" xfId="0" applyFont="1"/>
    <xf numFmtId="164" fontId="18" fillId="9" borderId="11" xfId="5" applyNumberFormat="1" applyAlignment="1">
      <alignment horizontal="center"/>
    </xf>
    <xf numFmtId="9" fontId="18" fillId="9" borderId="11" xfId="7" applyNumberFormat="1" applyFont="1" applyFill="1" applyBorder="1" applyAlignment="1">
      <alignment horizontal="center"/>
    </xf>
    <xf numFmtId="2" fontId="18" fillId="9" borderId="46" xfId="5" applyNumberFormat="1" applyBorder="1"/>
    <xf numFmtId="0" fontId="36" fillId="21" borderId="0" xfId="10" applyFont="1" applyFill="1" applyBorder="1" applyAlignment="1">
      <alignment horizontal="left" indent="5"/>
    </xf>
    <xf numFmtId="0" fontId="18" fillId="9" borderId="11" xfId="5"/>
    <xf numFmtId="0" fontId="17" fillId="8" borderId="10" xfId="4"/>
    <xf numFmtId="0" fontId="4" fillId="0" borderId="0" xfId="0" applyFont="1" applyFill="1" applyBorder="1"/>
    <xf numFmtId="0" fontId="27" fillId="2" borderId="0" xfId="9" applyFill="1"/>
    <xf numFmtId="0" fontId="15" fillId="2" borderId="9" xfId="3" applyFill="1"/>
    <xf numFmtId="0" fontId="2" fillId="2" borderId="0" xfId="1" applyFill="1"/>
    <xf numFmtId="0" fontId="56" fillId="2" borderId="48" xfId="18" applyFill="1"/>
    <xf numFmtId="0" fontId="0" fillId="2" borderId="42" xfId="0" applyFill="1" applyBorder="1"/>
    <xf numFmtId="0" fontId="0" fillId="2" borderId="39" xfId="0" applyFill="1" applyBorder="1"/>
    <xf numFmtId="0" fontId="0" fillId="2" borderId="40" xfId="0" applyFill="1" applyBorder="1"/>
    <xf numFmtId="0" fontId="0" fillId="2" borderId="31" xfId="0" applyFill="1" applyBorder="1"/>
    <xf numFmtId="0" fontId="0" fillId="2" borderId="0" xfId="0" applyFill="1" applyBorder="1"/>
    <xf numFmtId="0" fontId="0" fillId="2" borderId="41" xfId="0" applyFill="1" applyBorder="1"/>
    <xf numFmtId="0" fontId="0" fillId="2" borderId="32" xfId="0" applyFill="1" applyBorder="1"/>
    <xf numFmtId="0" fontId="0" fillId="2" borderId="33" xfId="0" applyFill="1" applyBorder="1"/>
    <xf numFmtId="0" fontId="0" fillId="2" borderId="34" xfId="0" applyFill="1" applyBorder="1"/>
    <xf numFmtId="0" fontId="0" fillId="2" borderId="3" xfId="0" applyFill="1" applyBorder="1"/>
    <xf numFmtId="0" fontId="0" fillId="2" borderId="35" xfId="0" applyFill="1" applyBorder="1"/>
    <xf numFmtId="0" fontId="0" fillId="2" borderId="36" xfId="0" applyFill="1" applyBorder="1"/>
    <xf numFmtId="0" fontId="0" fillId="2" borderId="37" xfId="0" applyFill="1" applyBorder="1"/>
    <xf numFmtId="0" fontId="0" fillId="2" borderId="38" xfId="0" applyFill="1" applyBorder="1"/>
    <xf numFmtId="0" fontId="16" fillId="20" borderId="11" xfId="13" applyFill="1" applyBorder="1"/>
    <xf numFmtId="0" fontId="16" fillId="26" borderId="11" xfId="16" applyFill="1" applyBorder="1"/>
    <xf numFmtId="0" fontId="16" fillId="5" borderId="11" xfId="14" applyFill="1" applyBorder="1"/>
    <xf numFmtId="0" fontId="14" fillId="2" borderId="8" xfId="2" applyFill="1"/>
    <xf numFmtId="0" fontId="42" fillId="21" borderId="45" xfId="10" applyFont="1" applyFill="1" applyBorder="1" applyAlignment="1">
      <alignment wrapText="1"/>
    </xf>
    <xf numFmtId="0" fontId="42" fillId="21" borderId="45" xfId="10" applyFont="1" applyFill="1" applyBorder="1" applyAlignment="1">
      <alignment horizontal="center" wrapText="1"/>
    </xf>
    <xf numFmtId="0" fontId="18" fillId="9" borderId="11" xfId="5" applyAlignment="1">
      <alignment horizontal="center"/>
    </xf>
    <xf numFmtId="0" fontId="18" fillId="9" borderId="11" xfId="5" applyAlignment="1" applyProtection="1">
      <alignment horizontal="center"/>
      <protection locked="0"/>
    </xf>
    <xf numFmtId="3" fontId="18" fillId="9" borderId="11" xfId="5" applyNumberFormat="1" applyAlignment="1">
      <alignment horizontal="center"/>
    </xf>
    <xf numFmtId="3" fontId="18" fillId="9" borderId="11" xfId="5" applyNumberFormat="1" applyAlignment="1" applyProtection="1">
      <alignment horizontal="center"/>
      <protection locked="0"/>
    </xf>
    <xf numFmtId="22" fontId="18" fillId="9" borderId="11" xfId="5" applyNumberFormat="1" applyAlignment="1">
      <alignment horizontal="center"/>
    </xf>
    <xf numFmtId="9" fontId="18" fillId="9" borderId="11" xfId="5" applyNumberFormat="1" applyAlignment="1">
      <alignment horizontal="center"/>
    </xf>
    <xf numFmtId="0" fontId="57" fillId="15" borderId="0" xfId="13" applyFont="1" applyBorder="1"/>
    <xf numFmtId="0" fontId="0" fillId="0" borderId="0" xfId="0"/>
    <xf numFmtId="2" fontId="0" fillId="7" borderId="0" xfId="0" applyNumberFormat="1" applyFill="1"/>
    <xf numFmtId="170" fontId="0" fillId="0" borderId="0" xfId="19" applyNumberFormat="1" applyFont="1"/>
    <xf numFmtId="170" fontId="0" fillId="0" borderId="0" xfId="19" applyNumberFormat="1" applyFont="1" applyFill="1"/>
    <xf numFmtId="43" fontId="3" fillId="0" borderId="0" xfId="19" applyNumberFormat="1" applyFont="1"/>
    <xf numFmtId="43" fontId="0" fillId="0" borderId="0" xfId="19" applyNumberFormat="1" applyFont="1"/>
    <xf numFmtId="43" fontId="1" fillId="2" borderId="1" xfId="19" applyNumberFormat="1" applyFont="1" applyFill="1" applyBorder="1" applyAlignment="1">
      <alignment textRotation="90" wrapText="1"/>
    </xf>
    <xf numFmtId="43" fontId="1" fillId="2" borderId="0" xfId="19" applyNumberFormat="1" applyFont="1" applyFill="1" applyBorder="1" applyAlignment="1">
      <alignment wrapText="1"/>
    </xf>
    <xf numFmtId="43" fontId="1" fillId="0" borderId="0" xfId="19" applyNumberFormat="1" applyFont="1"/>
    <xf numFmtId="43" fontId="0" fillId="0" borderId="0" xfId="19" applyNumberFormat="1" applyFont="1" applyBorder="1"/>
    <xf numFmtId="43" fontId="0" fillId="0" borderId="0" xfId="19" applyNumberFormat="1" applyFont="1" applyFill="1" applyAlignment="1">
      <alignment horizontal="left"/>
    </xf>
    <xf numFmtId="43" fontId="0" fillId="0" borderId="0" xfId="19" applyNumberFormat="1" applyFont="1" applyAlignment="1">
      <alignment horizontal="left"/>
    </xf>
    <xf numFmtId="43" fontId="0" fillId="0" borderId="0" xfId="19" applyNumberFormat="1" applyFont="1" applyFill="1"/>
    <xf numFmtId="43" fontId="1" fillId="0" borderId="0" xfId="19" applyNumberFormat="1" applyFont="1" applyFill="1"/>
    <xf numFmtId="171" fontId="18" fillId="9" borderId="11" xfId="5" applyNumberFormat="1" applyAlignment="1">
      <alignment horizontal="right"/>
    </xf>
    <xf numFmtId="0" fontId="0" fillId="0" borderId="0" xfId="0" applyBorder="1"/>
    <xf numFmtId="0" fontId="0" fillId="0" borderId="0" xfId="0"/>
    <xf numFmtId="0" fontId="14" fillId="18" borderId="0" xfId="2" applyFill="1" applyBorder="1" applyAlignment="1">
      <alignment horizontal="center"/>
    </xf>
    <xf numFmtId="0" fontId="14" fillId="16" borderId="0" xfId="2" applyFill="1" applyBorder="1" applyAlignment="1">
      <alignment horizontal="center"/>
    </xf>
    <xf numFmtId="43" fontId="0" fillId="0" borderId="0" xfId="19" applyNumberFormat="1" applyFont="1" applyAlignment="1">
      <alignment horizontal="right"/>
    </xf>
    <xf numFmtId="0" fontId="2" fillId="2" borderId="0" xfId="1" applyFill="1"/>
    <xf numFmtId="43" fontId="26" fillId="0" borderId="0" xfId="19" applyNumberFormat="1" applyFont="1" applyFill="1"/>
    <xf numFmtId="170" fontId="26" fillId="0" borderId="0" xfId="19" applyNumberFormat="1" applyFont="1" applyFill="1"/>
    <xf numFmtId="0" fontId="26" fillId="13" borderId="0" xfId="0" applyFont="1" applyFill="1" applyProtection="1">
      <protection locked="0"/>
    </xf>
    <xf numFmtId="0" fontId="17" fillId="8" borderId="10" xfId="4" applyAlignment="1" applyProtection="1">
      <alignment horizontal="right" wrapText="1"/>
      <protection locked="0"/>
    </xf>
    <xf numFmtId="0" fontId="17" fillId="8" borderId="10" xfId="4" applyAlignment="1" applyProtection="1">
      <alignment horizontal="right"/>
      <protection locked="0"/>
    </xf>
    <xf numFmtId="3" fontId="17" fillId="8" borderId="10" xfId="4" applyNumberFormat="1" applyProtection="1">
      <protection locked="0"/>
    </xf>
    <xf numFmtId="0" fontId="16" fillId="15" borderId="0" xfId="13" applyBorder="1" applyProtection="1">
      <protection locked="0"/>
    </xf>
    <xf numFmtId="0" fontId="17" fillId="8" borderId="25" xfId="4" applyBorder="1" applyProtection="1">
      <protection locked="0"/>
    </xf>
    <xf numFmtId="0" fontId="17" fillId="8" borderId="29" xfId="4" applyBorder="1" applyProtection="1">
      <protection locked="0"/>
    </xf>
    <xf numFmtId="0" fontId="0" fillId="13" borderId="0" xfId="0" applyFill="1" applyProtection="1">
      <protection locked="0"/>
    </xf>
    <xf numFmtId="2" fontId="54" fillId="25" borderId="0" xfId="5" applyNumberFormat="1" applyFont="1" applyFill="1" applyBorder="1" applyAlignment="1" applyProtection="1">
      <alignment horizontal="right"/>
      <protection locked="0"/>
    </xf>
    <xf numFmtId="0" fontId="16" fillId="18" borderId="0" xfId="16" applyBorder="1" applyProtection="1">
      <protection locked="0"/>
    </xf>
    <xf numFmtId="0" fontId="17" fillId="8" borderId="44" xfId="4" applyBorder="1" applyProtection="1">
      <protection locked="0"/>
    </xf>
    <xf numFmtId="0" fontId="1" fillId="2" borderId="0" xfId="0" applyFont="1" applyFill="1"/>
    <xf numFmtId="2" fontId="59" fillId="9" borderId="11" xfId="5" applyNumberFormat="1" applyFont="1" applyAlignment="1">
      <alignment horizontal="center"/>
    </xf>
    <xf numFmtId="2" fontId="59" fillId="9" borderId="11" xfId="5" applyNumberFormat="1" applyFont="1" applyAlignment="1">
      <alignment horizontal="left" indent="3"/>
    </xf>
    <xf numFmtId="0" fontId="36" fillId="21" borderId="0" xfId="10" applyFont="1" applyFill="1" applyBorder="1" applyAlignment="1">
      <alignment horizontal="left" indent="1"/>
    </xf>
    <xf numFmtId="0" fontId="36" fillId="21" borderId="0" xfId="10" applyFont="1" applyFill="1" applyBorder="1" applyAlignment="1">
      <alignment horizontal="left"/>
    </xf>
    <xf numFmtId="0" fontId="8" fillId="5" borderId="3" xfId="0" applyFont="1" applyFill="1" applyBorder="1" applyAlignment="1">
      <alignment horizontal="center"/>
    </xf>
    <xf numFmtId="0" fontId="8" fillId="5" borderId="0" xfId="0" applyFont="1" applyFill="1" applyBorder="1" applyAlignment="1">
      <alignment horizontal="center"/>
    </xf>
    <xf numFmtId="0" fontId="8" fillId="4" borderId="0" xfId="0" applyFont="1" applyFill="1" applyAlignment="1">
      <alignment horizontal="center"/>
    </xf>
    <xf numFmtId="0" fontId="2" fillId="2" borderId="0" xfId="1" applyFill="1" applyAlignment="1">
      <alignment horizontal="left"/>
    </xf>
    <xf numFmtId="0" fontId="2" fillId="2" borderId="0" xfId="1" applyFill="1"/>
    <xf numFmtId="0" fontId="0" fillId="0" borderId="0" xfId="0"/>
    <xf numFmtId="0" fontId="51" fillId="3" borderId="0" xfId="0" applyFont="1" applyFill="1" applyBorder="1" applyAlignment="1">
      <alignment horizontal="left" textRotation="90" wrapText="1"/>
    </xf>
    <xf numFmtId="0" fontId="14" fillId="15" borderId="0" xfId="2" applyFill="1" applyBorder="1" applyAlignment="1">
      <alignment horizontal="center"/>
    </xf>
    <xf numFmtId="43" fontId="18" fillId="9" borderId="11" xfId="5" applyNumberFormat="1"/>
    <xf numFmtId="0" fontId="18" fillId="9" borderId="11" xfId="5"/>
    <xf numFmtId="0" fontId="57" fillId="20" borderId="0" xfId="4" applyFont="1" applyFill="1" applyBorder="1" applyProtection="1">
      <protection locked="0"/>
    </xf>
    <xf numFmtId="0" fontId="48" fillId="21" borderId="0" xfId="17" applyFont="1" applyFill="1" applyBorder="1" applyAlignment="1">
      <alignment horizontal="center"/>
    </xf>
    <xf numFmtId="0" fontId="48" fillId="21" borderId="47" xfId="17" applyFont="1" applyFill="1" applyBorder="1" applyAlignment="1">
      <alignment horizontal="center"/>
    </xf>
    <xf numFmtId="0" fontId="51" fillId="3" borderId="0" xfId="0" applyFont="1" applyFill="1" applyBorder="1" applyAlignment="1">
      <alignment horizontal="center" vertical="center" textRotation="90" wrapText="1"/>
    </xf>
    <xf numFmtId="0" fontId="14" fillId="13" borderId="0" xfId="2" applyFill="1" applyBorder="1" applyAlignment="1">
      <alignment horizontal="center"/>
    </xf>
    <xf numFmtId="0" fontId="0" fillId="0" borderId="43" xfId="0" applyBorder="1"/>
    <xf numFmtId="0" fontId="0" fillId="0" borderId="0" xfId="0" applyBorder="1"/>
    <xf numFmtId="0" fontId="46" fillId="8" borderId="10" xfId="4" applyFont="1" applyAlignment="1" applyProtection="1">
      <alignment horizontal="left"/>
      <protection locked="0"/>
    </xf>
    <xf numFmtId="0" fontId="50" fillId="24" borderId="0" xfId="10" applyFont="1" applyFill="1" applyBorder="1" applyAlignment="1">
      <alignment horizontal="center"/>
    </xf>
    <xf numFmtId="0" fontId="17" fillId="8" borderId="43" xfId="4" applyBorder="1" applyProtection="1">
      <protection locked="0"/>
    </xf>
    <xf numFmtId="0" fontId="17" fillId="8" borderId="0" xfId="4" applyBorder="1" applyProtection="1">
      <protection locked="0"/>
    </xf>
    <xf numFmtId="0" fontId="25" fillId="0" borderId="0" xfId="0" applyFont="1"/>
    <xf numFmtId="0" fontId="17" fillId="8" borderId="26" xfId="4" applyBorder="1" applyProtection="1">
      <protection locked="0"/>
    </xf>
    <xf numFmtId="0" fontId="17" fillId="8" borderId="28" xfId="4" applyBorder="1" applyProtection="1">
      <protection locked="0"/>
    </xf>
    <xf numFmtId="0" fontId="18" fillId="9" borderId="49" xfId="5" applyBorder="1"/>
    <xf numFmtId="0" fontId="18" fillId="9" borderId="50" xfId="5" applyBorder="1"/>
    <xf numFmtId="0" fontId="14" fillId="18" borderId="0" xfId="2" applyFill="1" applyBorder="1" applyAlignment="1">
      <alignment horizontal="center"/>
    </xf>
    <xf numFmtId="0" fontId="14" fillId="16" borderId="0" xfId="2" applyFill="1" applyBorder="1" applyAlignment="1">
      <alignment horizontal="center"/>
    </xf>
    <xf numFmtId="0" fontId="38" fillId="8" borderId="26" xfId="4" applyFont="1" applyBorder="1" applyAlignment="1">
      <alignment horizontal="left"/>
    </xf>
    <xf numFmtId="0" fontId="38" fillId="8" borderId="27" xfId="4" applyFont="1" applyBorder="1" applyAlignment="1">
      <alignment horizontal="left"/>
    </xf>
    <xf numFmtId="0" fontId="38" fillId="8" borderId="28" xfId="4" applyFont="1" applyBorder="1" applyAlignment="1">
      <alignment horizontal="left"/>
    </xf>
    <xf numFmtId="0" fontId="17" fillId="8" borderId="10" xfId="4"/>
    <xf numFmtId="0" fontId="4" fillId="0" borderId="0" xfId="0" applyFont="1" applyAlignment="1">
      <alignment horizontal="center"/>
    </xf>
    <xf numFmtId="0" fontId="14" fillId="0" borderId="8" xfId="2"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cellXfs>
  <cellStyles count="20">
    <cellStyle name="20% - Dekorfärg2" xfId="12" builtinId="34"/>
    <cellStyle name="20% - Dekorfärg4" xfId="16" builtinId="42"/>
    <cellStyle name="40% - Dekorfärg1" xfId="13" builtinId="31"/>
    <cellStyle name="40% - Dekorfärg3" xfId="14" builtinId="39"/>
    <cellStyle name="60% - Dekorfärg1" xfId="10" builtinId="32"/>
    <cellStyle name="60% - Dekorfärg3" xfId="15" builtinId="40"/>
    <cellStyle name="Anteckning" xfId="6" builtinId="10"/>
    <cellStyle name="Dålig" xfId="11" builtinId="27"/>
    <cellStyle name="Förklarande text" xfId="8" builtinId="53"/>
    <cellStyle name="Hyperlänk" xfId="1" builtinId="8"/>
    <cellStyle name="Indata" xfId="4" builtinId="20"/>
    <cellStyle name="Normal" xfId="0" builtinId="0"/>
    <cellStyle name="Procent" xfId="7" builtinId="5"/>
    <cellStyle name="Rubrik" xfId="9" builtinId="15"/>
    <cellStyle name="Rubrik 1" xfId="2" builtinId="16"/>
    <cellStyle name="Rubrik 2" xfId="3" builtinId="17"/>
    <cellStyle name="Rubrik 3" xfId="18" builtinId="18"/>
    <cellStyle name="Summa" xfId="17" builtinId="25"/>
    <cellStyle name="Tusental" xfId="19" builtinId="3"/>
    <cellStyle name="Utdata" xfId="5" builtinId="21"/>
  </cellStyles>
  <dxfs count="83">
    <dxf>
      <font>
        <strike val="0"/>
      </font>
      <fill>
        <patternFill>
          <bgColor theme="9" tint="0.39994506668294322"/>
        </patternFill>
      </fill>
      <border>
        <left style="thin">
          <color auto="1"/>
        </left>
        <right style="thin">
          <color auto="1"/>
        </right>
        <top style="thin">
          <color auto="1"/>
        </top>
        <bottom style="thin">
          <color auto="1"/>
        </bottom>
        <vertical/>
        <horizontal/>
      </border>
    </dxf>
    <dxf>
      <font>
        <b/>
        <i/>
        <color theme="0"/>
      </font>
      <numFmt numFmtId="30" formatCode="@"/>
      <fill>
        <patternFill>
          <bgColor rgb="FF842512"/>
        </patternFill>
      </fill>
    </dxf>
    <dxf>
      <fill>
        <patternFill>
          <bgColor theme="4" tint="0.39994506668294322"/>
        </patternFill>
      </fill>
    </dxf>
    <dxf>
      <fill>
        <patternFill>
          <bgColor theme="4" tint="0.39994506668294322"/>
        </patternFill>
      </fill>
    </dxf>
    <dxf>
      <font>
        <color auto="1"/>
      </font>
    </dxf>
    <dxf>
      <font>
        <color theme="0"/>
      </font>
    </dxf>
    <dxf>
      <font>
        <color auto="1"/>
      </font>
      <fill>
        <patternFill>
          <bgColor theme="9" tint="0.39994506668294322"/>
        </patternFill>
      </fill>
      <border>
        <left style="thin">
          <color auto="1"/>
        </left>
        <right style="thin">
          <color auto="1"/>
        </right>
        <top style="thin">
          <color auto="1"/>
        </top>
        <bottom style="thin">
          <color auto="1"/>
        </bottom>
        <vertical/>
        <horizontal/>
      </border>
    </dxf>
    <dxf>
      <font>
        <color theme="6" tint="0.59996337778862885"/>
      </font>
      <fill>
        <patternFill>
          <bgColor theme="6" tint="0.59996337778862885"/>
        </patternFill>
      </fill>
      <border>
        <left/>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auto="1"/>
      </font>
      <fill>
        <patternFill>
          <bgColor theme="9" tint="0.39994506668294322"/>
        </patternFill>
      </fill>
    </dxf>
    <dxf>
      <fill>
        <patternFill>
          <bgColor theme="9" tint="0.39994506668294322"/>
        </patternFill>
      </fill>
      <border>
        <left style="thin">
          <color auto="1"/>
        </left>
        <right style="thin">
          <color auto="1"/>
        </right>
        <top style="thin">
          <color auto="1"/>
        </top>
        <bottom style="thin">
          <color auto="1"/>
        </bottom>
        <vertical/>
        <horizontal/>
      </border>
    </dxf>
    <dxf>
      <font>
        <color auto="1"/>
      </font>
    </dxf>
    <dxf>
      <font>
        <strike val="0"/>
      </font>
      <fill>
        <patternFill>
          <bgColor theme="9" tint="0.39994506668294322"/>
        </patternFill>
      </fill>
      <border>
        <left style="thin">
          <color auto="1"/>
        </left>
        <right style="thin">
          <color auto="1"/>
        </right>
        <top style="thin">
          <color auto="1"/>
        </top>
        <bottom style="thin">
          <color auto="1"/>
        </bottom>
        <vertical/>
        <horizontal/>
      </border>
    </dxf>
    <dxf>
      <font>
        <strike val="0"/>
      </font>
      <fill>
        <patternFill>
          <bgColor theme="9" tint="0.39994506668294322"/>
        </patternFill>
      </fill>
      <border>
        <left style="thin">
          <color auto="1"/>
        </left>
        <right style="thin">
          <color auto="1"/>
        </right>
        <top style="thin">
          <color auto="1"/>
        </top>
        <bottom style="thin">
          <color auto="1"/>
        </bottom>
        <vertical/>
        <horizontal/>
      </border>
    </dxf>
    <dxf>
      <font>
        <color theme="0"/>
      </font>
    </dxf>
    <dxf>
      <font>
        <color auto="1"/>
      </font>
    </dxf>
    <dxf>
      <fill>
        <patternFill>
          <bgColor theme="9" tint="0.39994506668294322"/>
        </patternFill>
      </fill>
      <border>
        <left style="thin">
          <color auto="1"/>
        </left>
        <right style="thin">
          <color auto="1"/>
        </right>
        <top style="thin">
          <color auto="1"/>
        </top>
        <bottom style="thin">
          <color auto="1"/>
        </bottom>
        <vertical/>
        <horizontal/>
      </border>
    </dxf>
    <dxf>
      <font>
        <color auto="1"/>
      </font>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bgColor theme="9" tint="0.3999450666829432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fgColor indexed="64"/>
          <bgColor auto="1"/>
        </patternFill>
      </fill>
      <border>
        <left/>
        <right/>
        <top/>
        <bottom/>
        <vertical/>
        <horizontal/>
      </border>
    </dxf>
    <dxf>
      <font>
        <color theme="0"/>
      </font>
    </dxf>
    <dxf>
      <font>
        <color auto="1"/>
      </font>
    </dxf>
    <dxf>
      <fill>
        <patternFill>
          <bgColor theme="9" tint="0.39994506668294322"/>
        </patternFill>
      </fill>
      <border>
        <left style="thin">
          <color auto="1"/>
        </left>
        <right style="thin">
          <color auto="1"/>
        </right>
        <top style="thin">
          <color auto="1"/>
        </top>
        <bottom style="thin">
          <color auto="1"/>
        </bottom>
        <vertical/>
        <horizontal/>
      </border>
    </dxf>
    <dxf>
      <font>
        <color auto="1"/>
      </font>
    </dxf>
    <dxf>
      <font>
        <strike val="0"/>
      </font>
      <fill>
        <patternFill>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42512"/>
      <color rgb="FFFF65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78332275422734"/>
          <c:y val="9.4475823184595673E-3"/>
          <c:w val="0.54718853110543075"/>
          <c:h val="0.95110466142021866"/>
        </c:manualLayout>
      </c:layout>
      <c:pieChart>
        <c:varyColors val="1"/>
        <c:ser>
          <c:idx val="0"/>
          <c:order val="0"/>
          <c:dLbls>
            <c:dLbl>
              <c:idx val="3"/>
              <c:layout>
                <c:manualLayout>
                  <c:x val="-6.7553570779504968E-2"/>
                  <c:y val="2.3111022683984364E-2"/>
                </c:manualLayout>
              </c:layout>
              <c:dLblPos val="bestFit"/>
              <c:showLegendKey val="0"/>
              <c:showVal val="0"/>
              <c:showCatName val="1"/>
              <c:showSerName val="0"/>
              <c:showPercent val="1"/>
              <c:showBubbleSize val="0"/>
            </c:dLbl>
            <c:txPr>
              <a:bodyPr/>
              <a:lstStyle/>
              <a:p>
                <a:pPr>
                  <a:defRPr sz="1000">
                    <a:solidFill>
                      <a:sysClr val="windowText" lastClr="000000"/>
                    </a:solidFill>
                  </a:defRPr>
                </a:pPr>
                <a:endParaRPr lang="sv-SE"/>
              </a:p>
            </c:txPr>
            <c:dLblPos val="outEnd"/>
            <c:showLegendKey val="0"/>
            <c:showVal val="0"/>
            <c:showCatName val="1"/>
            <c:showSerName val="0"/>
            <c:showPercent val="1"/>
            <c:showBubbleSize val="0"/>
            <c:showLeaderLines val="1"/>
          </c:dLbls>
          <c:cat>
            <c:strRef>
              <c:f>(Växthusgasberäkning!$C$4:$C$10,Växthusgasberäkning!$D$12:$D$14)</c:f>
              <c:strCache>
                <c:ptCount val="10"/>
                <c:pt idx="0">
                  <c:v>eec</c:v>
                </c:pt>
                <c:pt idx="1">
                  <c:v>el</c:v>
                </c:pt>
                <c:pt idx="2">
                  <c:v>ep</c:v>
                </c:pt>
                <c:pt idx="5">
                  <c:v>esca</c:v>
                </c:pt>
                <c:pt idx="6">
                  <c:v>ecc</c:v>
                </c:pt>
                <c:pt idx="7">
                  <c:v>varav;    Lagring</c:v>
                </c:pt>
                <c:pt idx="8">
                  <c:v>Vägtransporter</c:v>
                </c:pt>
                <c:pt idx="9">
                  <c:v>Sjötransporter</c:v>
                </c:pt>
              </c:strCache>
            </c:strRef>
          </c:cat>
          <c:val>
            <c:numRef>
              <c:f>(Växthusgasberäkning!$E$4:$E$10,Växthusgasberäkning!$E$12:$E$14,Växthusgasberäkning!$E$16:$E$17,Växthusgasberäkning!$E$16,Växthusgasberäkning!$E$16)</c:f>
              <c:numCache>
                <c:formatCode>0.0</c:formatCode>
                <c:ptCount val="14"/>
                <c:pt idx="0" formatCode="0.00">
                  <c:v>0</c:v>
                </c:pt>
                <c:pt idx="1">
                  <c:v>0</c:v>
                </c:pt>
                <c:pt idx="2" formatCode="0.00">
                  <c:v>0</c:v>
                </c:pt>
                <c:pt idx="3" formatCode="0.00">
                  <c:v>0</c:v>
                </c:pt>
                <c:pt idx="4" formatCode="0.00">
                  <c:v>0</c:v>
                </c:pt>
                <c:pt idx="5" formatCode="0.00">
                  <c:v>0</c:v>
                </c:pt>
                <c:pt idx="6" formatCode="0.00">
                  <c:v>0</c:v>
                </c:pt>
                <c:pt idx="7" formatCode="0.00">
                  <c:v>0.53348572614899559</c:v>
                </c:pt>
                <c:pt idx="8" formatCode="0.00">
                  <c:v>0.14885247583732059</c:v>
                </c:pt>
                <c:pt idx="9" formatCode="0.00">
                  <c:v>2.4878176507784175</c:v>
                </c:pt>
                <c:pt idx="10" formatCode="0.00">
                  <c:v>0</c:v>
                </c:pt>
                <c:pt idx="11" formatCode="0.00">
                  <c:v>0</c:v>
                </c:pt>
                <c:pt idx="12" formatCode="0.00">
                  <c:v>0</c:v>
                </c:pt>
                <c:pt idx="13" formatCode="0.00">
                  <c:v>0</c:v>
                </c:pt>
              </c:numCache>
            </c:numRef>
          </c:val>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solidFill>
      <a:schemeClr val="bg1"/>
    </a:solidFill>
    <a:ln>
      <a:solidFill>
        <a:schemeClr val="tx1"/>
      </a:solidFill>
    </a:ln>
    <a:effectLst>
      <a:outerShdw blurRad="203200" dist="292100" dir="2640000" algn="ctr" rotWithShape="0">
        <a:srgbClr val="000000">
          <a:alpha val="43137"/>
        </a:srgbClr>
      </a:outerShdw>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41294838145238E-2"/>
          <c:y val="0.1610206387236757"/>
          <c:w val="0.67672119699006583"/>
          <c:h val="0.63711189942452939"/>
        </c:manualLayout>
      </c:layout>
      <c:barChart>
        <c:barDir val="col"/>
        <c:grouping val="clustered"/>
        <c:varyColors val="0"/>
        <c:ser>
          <c:idx val="0"/>
          <c:order val="0"/>
          <c:tx>
            <c:strRef>
              <c:f>Resultat!$F$5</c:f>
              <c:strCache>
                <c:ptCount val="1"/>
                <c:pt idx="0">
                  <c:v>Totala utsläpp (g CO2eq/MJ)</c:v>
                </c:pt>
              </c:strCache>
            </c:strRef>
          </c:tx>
          <c:spPr>
            <a:solidFill>
              <a:schemeClr val="tx1"/>
            </a:solidFill>
          </c:spPr>
          <c:invertIfNegative val="0"/>
          <c:cat>
            <c:multiLvlStrRef>
              <c:f>Resultat!$C$6:$E$9</c:f>
              <c:multiLvlStrCache>
                <c:ptCount val="1"/>
                <c:lvl>
                  <c:pt idx="0">
                    <c:v>-</c:v>
                  </c:pt>
                </c:lvl>
                <c:lvl>
                  <c:pt idx="0">
                    <c:v>38 000</c:v>
                  </c:pt>
                </c:lvl>
                <c:lvl>
                  <c:pt idx="0">
                    <c:v>Tallbeckolja (38 000 MJ/ton)</c:v>
                  </c:pt>
                </c:lvl>
              </c:multiLvlStrCache>
            </c:multiLvlStrRef>
          </c:cat>
          <c:val>
            <c:numRef>
              <c:f>Resultat!$F$6:$F$9</c:f>
              <c:numCache>
                <c:formatCode>General</c:formatCode>
                <c:ptCount val="4"/>
                <c:pt idx="0" formatCode="0.00">
                  <c:v>3.1701558527647338</c:v>
                </c:pt>
              </c:numCache>
            </c:numRef>
          </c:val>
        </c:ser>
        <c:dLbls>
          <c:showLegendKey val="0"/>
          <c:showVal val="0"/>
          <c:showCatName val="0"/>
          <c:showSerName val="0"/>
          <c:showPercent val="0"/>
          <c:showBubbleSize val="0"/>
        </c:dLbls>
        <c:gapWidth val="150"/>
        <c:axId val="165168640"/>
        <c:axId val="165170176"/>
      </c:barChart>
      <c:lineChart>
        <c:grouping val="standard"/>
        <c:varyColors val="0"/>
        <c:ser>
          <c:idx val="1"/>
          <c:order val="1"/>
          <c:tx>
            <c:strRef>
              <c:f>Resultat!$G$5</c:f>
              <c:strCache>
                <c:ptCount val="1"/>
                <c:pt idx="0">
                  <c:v>Utsläppsminskning (jämfört med fossil motsvarighet)</c:v>
                </c:pt>
              </c:strCache>
            </c:strRef>
          </c:tx>
          <c:spPr>
            <a:ln>
              <a:noFill/>
            </a:ln>
          </c:spPr>
          <c:marker>
            <c:symbol val="diamond"/>
            <c:size val="10"/>
            <c:spPr>
              <a:ln>
                <a:noFill/>
              </a:ln>
            </c:spPr>
          </c:marker>
          <c:cat>
            <c:multiLvlStrRef>
              <c:f>Resultat!$C$6:$E$9</c:f>
              <c:multiLvlStrCache>
                <c:ptCount val="1"/>
                <c:lvl>
                  <c:pt idx="0">
                    <c:v>-</c:v>
                  </c:pt>
                </c:lvl>
                <c:lvl>
                  <c:pt idx="0">
                    <c:v>38 000</c:v>
                  </c:pt>
                </c:lvl>
                <c:lvl>
                  <c:pt idx="0">
                    <c:v>Tallbeckolja (38 000 MJ/ton)</c:v>
                  </c:pt>
                </c:lvl>
              </c:multiLvlStrCache>
            </c:multiLvlStrRef>
          </c:cat>
          <c:val>
            <c:numRef>
              <c:f>Resultat!$G$6:$G$9</c:f>
              <c:numCache>
                <c:formatCode>General</c:formatCode>
                <c:ptCount val="4"/>
                <c:pt idx="0" formatCode="0%">
                  <c:v>0.95882914476928915</c:v>
                </c:pt>
              </c:numCache>
            </c:numRef>
          </c:val>
          <c:smooth val="0"/>
        </c:ser>
        <c:ser>
          <c:idx val="2"/>
          <c:order val="2"/>
          <c:tx>
            <c:strRef>
              <c:f>Resultat!#REF!</c:f>
              <c:strCache>
                <c:ptCount val="1"/>
                <c:pt idx="0">
                  <c:v>#REF!</c:v>
                </c:pt>
              </c:strCache>
            </c:strRef>
          </c:tx>
          <c:marker>
            <c:symbol val="none"/>
          </c:marker>
          <c:cat>
            <c:multiLvlStrRef>
              <c:f>Resultat!$C$6:$E$9</c:f>
              <c:multiLvlStrCache>
                <c:ptCount val="1"/>
                <c:lvl>
                  <c:pt idx="0">
                    <c:v>-</c:v>
                  </c:pt>
                </c:lvl>
                <c:lvl>
                  <c:pt idx="0">
                    <c:v>38 000</c:v>
                  </c:pt>
                </c:lvl>
                <c:lvl>
                  <c:pt idx="0">
                    <c:v>Tallbeckolja (38 000 MJ/ton)</c:v>
                  </c:pt>
                </c:lvl>
              </c:multiLvlStrCache>
            </c:multiLvlStrRef>
          </c:cat>
          <c:val>
            <c:numRef>
              <c:f>Resultat!#REF!</c:f>
              <c:numCache>
                <c:formatCode>General</c:formatCode>
                <c:ptCount val="1"/>
                <c:pt idx="0">
                  <c:v>1</c:v>
                </c:pt>
              </c:numCache>
            </c:numRef>
          </c:val>
          <c:smooth val="0"/>
        </c:ser>
        <c:dLbls>
          <c:showLegendKey val="0"/>
          <c:showVal val="0"/>
          <c:showCatName val="0"/>
          <c:showSerName val="0"/>
          <c:showPercent val="0"/>
          <c:showBubbleSize val="0"/>
        </c:dLbls>
        <c:marker val="1"/>
        <c:smooth val="0"/>
        <c:axId val="165173888"/>
        <c:axId val="165172352"/>
      </c:lineChart>
      <c:catAx>
        <c:axId val="165168640"/>
        <c:scaling>
          <c:orientation val="minMax"/>
        </c:scaling>
        <c:delete val="0"/>
        <c:axPos val="b"/>
        <c:majorTickMark val="out"/>
        <c:minorTickMark val="none"/>
        <c:tickLblPos val="nextTo"/>
        <c:crossAx val="165170176"/>
        <c:crosses val="autoZero"/>
        <c:auto val="1"/>
        <c:lblAlgn val="ctr"/>
        <c:lblOffset val="100"/>
        <c:noMultiLvlLbl val="0"/>
      </c:catAx>
      <c:valAx>
        <c:axId val="165170176"/>
        <c:scaling>
          <c:orientation val="minMax"/>
        </c:scaling>
        <c:delete val="0"/>
        <c:axPos val="l"/>
        <c:majorGridlines/>
        <c:title>
          <c:tx>
            <c:rich>
              <a:bodyPr rot="0" vert="horz"/>
              <a:lstStyle/>
              <a:p>
                <a:pPr>
                  <a:defRPr/>
                </a:pPr>
                <a:r>
                  <a:rPr lang="en-GB"/>
                  <a:t>g CO</a:t>
                </a:r>
                <a:r>
                  <a:rPr lang="en-GB" baseline="-25000"/>
                  <a:t>2e</a:t>
                </a:r>
                <a:r>
                  <a:rPr lang="en-GB"/>
                  <a:t>/MJ</a:t>
                </a:r>
              </a:p>
            </c:rich>
          </c:tx>
          <c:layout>
            <c:manualLayout>
              <c:xMode val="edge"/>
              <c:yMode val="edge"/>
              <c:x val="1.4781966001478197E-2"/>
              <c:y val="4.9683121468060851E-2"/>
            </c:manualLayout>
          </c:layout>
          <c:overlay val="0"/>
        </c:title>
        <c:numFmt formatCode="0.0" sourceLinked="0"/>
        <c:majorTickMark val="out"/>
        <c:minorTickMark val="none"/>
        <c:tickLblPos val="nextTo"/>
        <c:crossAx val="165168640"/>
        <c:crosses val="autoZero"/>
        <c:crossBetween val="between"/>
      </c:valAx>
      <c:valAx>
        <c:axId val="165172352"/>
        <c:scaling>
          <c:orientation val="minMax"/>
          <c:max val="1"/>
        </c:scaling>
        <c:delete val="0"/>
        <c:axPos val="r"/>
        <c:numFmt formatCode="0%" sourceLinked="1"/>
        <c:majorTickMark val="out"/>
        <c:minorTickMark val="none"/>
        <c:tickLblPos val="nextTo"/>
        <c:crossAx val="165173888"/>
        <c:crosses val="max"/>
        <c:crossBetween val="between"/>
      </c:valAx>
      <c:catAx>
        <c:axId val="165173888"/>
        <c:scaling>
          <c:orientation val="minMax"/>
        </c:scaling>
        <c:delete val="1"/>
        <c:axPos val="b"/>
        <c:majorTickMark val="out"/>
        <c:minorTickMark val="none"/>
        <c:tickLblPos val="nextTo"/>
        <c:crossAx val="165172352"/>
        <c:crosses val="autoZero"/>
        <c:auto val="1"/>
        <c:lblAlgn val="ctr"/>
        <c:lblOffset val="100"/>
        <c:noMultiLvlLbl val="0"/>
      </c:catAx>
    </c:plotArea>
    <c:legend>
      <c:legendPos val="r"/>
      <c:legendEntry>
        <c:idx val="2"/>
        <c:delete val="1"/>
      </c:legendEntry>
      <c:layout>
        <c:manualLayout>
          <c:xMode val="edge"/>
          <c:yMode val="edge"/>
          <c:x val="0.16322898662057486"/>
          <c:y val="7.145435917065492E-4"/>
          <c:w val="0.57472376928493696"/>
          <c:h val="0.2415086162410578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07402960260466"/>
          <c:y val="7.8082016429046844E-2"/>
          <c:w val="0.64405477174590708"/>
          <c:h val="0.79599761870102115"/>
        </c:manualLayout>
      </c:layout>
      <c:barChart>
        <c:barDir val="col"/>
        <c:grouping val="clustered"/>
        <c:varyColors val="0"/>
        <c:ser>
          <c:idx val="0"/>
          <c:order val="0"/>
          <c:tx>
            <c:strRef>
              <c:f>'Beräkning lagring'!$D$36</c:f>
              <c:strCache>
                <c:ptCount val="1"/>
                <c:pt idx="0">
                  <c:v>Svensk Medel 2008</c:v>
                </c:pt>
              </c:strCache>
            </c:strRef>
          </c:tx>
          <c:invertIfNegative val="0"/>
          <c:cat>
            <c:strRef>
              <c:f>'Beräkning lagring'!$C$37:$C$42</c:f>
              <c:strCache>
                <c:ptCount val="6"/>
                <c:pt idx="0">
                  <c:v>Liten cistern, 2000 m^3</c:v>
                </c:pt>
                <c:pt idx="1">
                  <c:v>Stor cistern, 30 000 m^3</c:v>
                </c:pt>
                <c:pt idx="2">
                  <c:v>Medelstor cisternm, 9000 m^3</c:v>
                </c:pt>
                <c:pt idx="3">
                  <c:v>t ute = 20 grader</c:v>
                </c:pt>
                <c:pt idx="4">
                  <c:v>t ute = -10</c:v>
                </c:pt>
                <c:pt idx="5">
                  <c:v>Dålig isolering</c:v>
                </c:pt>
              </c:strCache>
            </c:strRef>
          </c:cat>
          <c:val>
            <c:numRef>
              <c:f>'Beräkning lagring'!$D$37:$D$42</c:f>
              <c:numCache>
                <c:formatCode>0.000</c:formatCode>
                <c:ptCount val="6"/>
                <c:pt idx="0" formatCode="0.00">
                  <c:v>9.8303322843190419E-2</c:v>
                </c:pt>
                <c:pt idx="1">
                  <c:v>3.9481859775925547E-2</c:v>
                </c:pt>
                <c:pt idx="2">
                  <c:v>5.8253820944112841E-2</c:v>
                </c:pt>
                <c:pt idx="3">
                  <c:v>3.799162235485621E-2</c:v>
                </c:pt>
                <c:pt idx="4">
                  <c:v>7.5983244709712419E-2</c:v>
                </c:pt>
                <c:pt idx="5">
                  <c:v>0.10679867173087357</c:v>
                </c:pt>
              </c:numCache>
            </c:numRef>
          </c:val>
        </c:ser>
        <c:ser>
          <c:idx val="1"/>
          <c:order val="1"/>
          <c:tx>
            <c:strRef>
              <c:f>'Beräkning lagring'!$E$36</c:f>
              <c:strCache>
                <c:ptCount val="1"/>
                <c:pt idx="0">
                  <c:v>Industriell Spillvärme</c:v>
                </c:pt>
              </c:strCache>
            </c:strRef>
          </c:tx>
          <c:invertIfNegative val="0"/>
          <c:cat>
            <c:strRef>
              <c:f>'Beräkning lagring'!$C$37:$C$42</c:f>
              <c:strCache>
                <c:ptCount val="6"/>
                <c:pt idx="0">
                  <c:v>Liten cistern, 2000 m^3</c:v>
                </c:pt>
                <c:pt idx="1">
                  <c:v>Stor cistern, 30 000 m^3</c:v>
                </c:pt>
                <c:pt idx="2">
                  <c:v>Medelstor cisternm, 9000 m^3</c:v>
                </c:pt>
                <c:pt idx="3">
                  <c:v>t ute = 20 grader</c:v>
                </c:pt>
                <c:pt idx="4">
                  <c:v>t ute = -10</c:v>
                </c:pt>
                <c:pt idx="5">
                  <c:v>Dålig isolering</c:v>
                </c:pt>
              </c:strCache>
            </c:strRef>
          </c:cat>
          <c:val>
            <c:numRef>
              <c:f>'Beräkning lagring'!$E$37:$E$42</c:f>
              <c:numCache>
                <c:formatCode>0.000</c:formatCode>
                <c:ptCount val="6"/>
                <c:pt idx="0" formatCode="0.00">
                  <c:v>2.1456929327131533E-2</c:v>
                </c:pt>
                <c:pt idx="1">
                  <c:v>8.617811182915016E-3</c:v>
                </c:pt>
                <c:pt idx="2">
                  <c:v>1.2715217379040907E-2</c:v>
                </c:pt>
                <c:pt idx="3">
                  <c:v>8.2925330732875491E-3</c:v>
                </c:pt>
                <c:pt idx="4">
                  <c:v>1.6585066146575098E-2</c:v>
                </c:pt>
                <c:pt idx="5">
                  <c:v>2.3311231861575001E-2</c:v>
                </c:pt>
              </c:numCache>
            </c:numRef>
          </c:val>
        </c:ser>
        <c:ser>
          <c:idx val="2"/>
          <c:order val="2"/>
          <c:tx>
            <c:strRef>
              <c:f>'Beräkning lagring'!$F$36</c:f>
              <c:strCache>
                <c:ptCount val="1"/>
                <c:pt idx="0">
                  <c:v>Biokraftvärme</c:v>
                </c:pt>
              </c:strCache>
            </c:strRef>
          </c:tx>
          <c:invertIfNegative val="0"/>
          <c:cat>
            <c:strRef>
              <c:f>'Beräkning lagring'!$C$37:$C$42</c:f>
              <c:strCache>
                <c:ptCount val="6"/>
                <c:pt idx="0">
                  <c:v>Liten cistern, 2000 m^3</c:v>
                </c:pt>
                <c:pt idx="1">
                  <c:v>Stor cistern, 30 000 m^3</c:v>
                </c:pt>
                <c:pt idx="2">
                  <c:v>Medelstor cisternm, 9000 m^3</c:v>
                </c:pt>
                <c:pt idx="3">
                  <c:v>t ute = 20 grader</c:v>
                </c:pt>
                <c:pt idx="4">
                  <c:v>t ute = -10</c:v>
                </c:pt>
                <c:pt idx="5">
                  <c:v>Dålig isolering</c:v>
                </c:pt>
              </c:strCache>
            </c:strRef>
          </c:cat>
          <c:val>
            <c:numRef>
              <c:f>'Beräkning lagring'!$F$37:$F$42</c:f>
              <c:numCache>
                <c:formatCode>0.000</c:formatCode>
                <c:ptCount val="6"/>
                <c:pt idx="0" formatCode="0.00">
                  <c:v>3.1927381599686819E-2</c:v>
                </c:pt>
                <c:pt idx="1">
                  <c:v>1.2823090480289092E-2</c:v>
                </c:pt>
                <c:pt idx="2">
                  <c:v>1.8919929836851448E-2</c:v>
                </c:pt>
                <c:pt idx="3">
                  <c:v>1.2339084676207469E-2</c:v>
                </c:pt>
                <c:pt idx="4">
                  <c:v>2.4678169352414937E-2</c:v>
                </c:pt>
                <c:pt idx="5">
                  <c:v>3.4686538034227665E-2</c:v>
                </c:pt>
              </c:numCache>
            </c:numRef>
          </c:val>
        </c:ser>
        <c:ser>
          <c:idx val="3"/>
          <c:order val="3"/>
          <c:tx>
            <c:strRef>
              <c:f>'Beräkning lagring'!$G$36</c:f>
              <c:strCache>
                <c:ptCount val="1"/>
                <c:pt idx="0">
                  <c:v>Oljepanna</c:v>
                </c:pt>
              </c:strCache>
            </c:strRef>
          </c:tx>
          <c:spPr>
            <a:solidFill>
              <a:schemeClr val="tx1"/>
            </a:solidFill>
          </c:spPr>
          <c:invertIfNegative val="0"/>
          <c:cat>
            <c:strRef>
              <c:f>'Beräkning lagring'!$C$37:$C$42</c:f>
              <c:strCache>
                <c:ptCount val="6"/>
                <c:pt idx="0">
                  <c:v>Liten cistern, 2000 m^3</c:v>
                </c:pt>
                <c:pt idx="1">
                  <c:v>Stor cistern, 30 000 m^3</c:v>
                </c:pt>
                <c:pt idx="2">
                  <c:v>Medelstor cisternm, 9000 m^3</c:v>
                </c:pt>
                <c:pt idx="3">
                  <c:v>t ute = 20 grader</c:v>
                </c:pt>
                <c:pt idx="4">
                  <c:v>t ute = -10</c:v>
                </c:pt>
                <c:pt idx="5">
                  <c:v>Dålig isolering</c:v>
                </c:pt>
              </c:strCache>
            </c:strRef>
          </c:cat>
          <c:val>
            <c:numRef>
              <c:f>'Beräkning lagring'!$G$37:$G$42</c:f>
              <c:numCache>
                <c:formatCode>0.000</c:formatCode>
                <c:ptCount val="6"/>
                <c:pt idx="0" formatCode="0.00">
                  <c:v>0.33619839162490817</c:v>
                </c:pt>
                <c:pt idx="1">
                  <c:v>0.13502837311206731</c:v>
                </c:pt>
                <c:pt idx="2">
                  <c:v>0.19922867651846413</c:v>
                </c:pt>
                <c:pt idx="3">
                  <c:v>0.12993174555552009</c:v>
                </c:pt>
                <c:pt idx="4">
                  <c:v>0.25986349111104018</c:v>
                </c:pt>
                <c:pt idx="5">
                  <c:v>0.36525257361718427</c:v>
                </c:pt>
              </c:numCache>
            </c:numRef>
          </c:val>
        </c:ser>
        <c:ser>
          <c:idx val="4"/>
          <c:order val="4"/>
          <c:tx>
            <c:strRef>
              <c:f>'Beräkning lagring'!$H$36</c:f>
              <c:strCache>
                <c:ptCount val="1"/>
                <c:pt idx="0">
                  <c:v>Fortum 2009</c:v>
                </c:pt>
              </c:strCache>
            </c:strRef>
          </c:tx>
          <c:invertIfNegative val="0"/>
          <c:cat>
            <c:strRef>
              <c:f>'Beräkning lagring'!$C$37:$C$42</c:f>
              <c:strCache>
                <c:ptCount val="6"/>
                <c:pt idx="0">
                  <c:v>Liten cistern, 2000 m^3</c:v>
                </c:pt>
                <c:pt idx="1">
                  <c:v>Stor cistern, 30 000 m^3</c:v>
                </c:pt>
                <c:pt idx="2">
                  <c:v>Medelstor cisternm, 9000 m^3</c:v>
                </c:pt>
                <c:pt idx="3">
                  <c:v>t ute = 20 grader</c:v>
                </c:pt>
                <c:pt idx="4">
                  <c:v>t ute = -10</c:v>
                </c:pt>
                <c:pt idx="5">
                  <c:v>Dålig isolering</c:v>
                </c:pt>
              </c:strCache>
            </c:strRef>
          </c:cat>
          <c:val>
            <c:numRef>
              <c:f>'Beräkning lagring'!$H$37:$H$42</c:f>
              <c:numCache>
                <c:formatCode>0.000</c:formatCode>
                <c:ptCount val="6"/>
                <c:pt idx="0" formatCode="0.00">
                  <c:v>9.8371252088985325E-2</c:v>
                </c:pt>
                <c:pt idx="1">
                  <c:v>3.950914240360881E-2</c:v>
                </c:pt>
                <c:pt idx="2">
                  <c:v>5.8294075311991309E-2</c:v>
                </c:pt>
                <c:pt idx="3">
                  <c:v>3.8017875203472599E-2</c:v>
                </c:pt>
                <c:pt idx="4">
                  <c:v>7.6035750406945199E-2</c:v>
                </c:pt>
                <c:pt idx="5">
                  <c:v>0.10687247140531742</c:v>
                </c:pt>
              </c:numCache>
            </c:numRef>
          </c:val>
        </c:ser>
        <c:dLbls>
          <c:showLegendKey val="0"/>
          <c:showVal val="0"/>
          <c:showCatName val="0"/>
          <c:showSerName val="0"/>
          <c:showPercent val="0"/>
          <c:showBubbleSize val="0"/>
        </c:dLbls>
        <c:gapWidth val="150"/>
        <c:axId val="166612352"/>
        <c:axId val="166614144"/>
      </c:barChart>
      <c:catAx>
        <c:axId val="166612352"/>
        <c:scaling>
          <c:orientation val="minMax"/>
        </c:scaling>
        <c:delete val="0"/>
        <c:axPos val="b"/>
        <c:majorTickMark val="out"/>
        <c:minorTickMark val="none"/>
        <c:tickLblPos val="nextTo"/>
        <c:crossAx val="166614144"/>
        <c:crosses val="autoZero"/>
        <c:auto val="1"/>
        <c:lblAlgn val="ctr"/>
        <c:lblOffset val="100"/>
        <c:noMultiLvlLbl val="0"/>
      </c:catAx>
      <c:valAx>
        <c:axId val="166614144"/>
        <c:scaling>
          <c:orientation val="minMax"/>
        </c:scaling>
        <c:delete val="0"/>
        <c:axPos val="l"/>
        <c:majorGridlines/>
        <c:title>
          <c:tx>
            <c:rich>
              <a:bodyPr rot="0" vert="horz"/>
              <a:lstStyle/>
              <a:p>
                <a:pPr>
                  <a:defRPr/>
                </a:pPr>
                <a:r>
                  <a:rPr lang="en-GB"/>
                  <a:t>g</a:t>
                </a:r>
                <a:r>
                  <a:rPr lang="en-GB" baseline="0"/>
                  <a:t> CO2e/MJ</a:t>
                </a:r>
                <a:endParaRPr lang="en-GB"/>
              </a:p>
            </c:rich>
          </c:tx>
          <c:layout>
            <c:manualLayout>
              <c:xMode val="edge"/>
              <c:yMode val="edge"/>
              <c:x val="4.8406633639663722E-2"/>
              <c:y val="1.9460680252043366E-2"/>
            </c:manualLayout>
          </c:layout>
          <c:overlay val="0"/>
        </c:title>
        <c:numFmt formatCode="0.00" sourceLinked="0"/>
        <c:majorTickMark val="out"/>
        <c:minorTickMark val="none"/>
        <c:tickLblPos val="nextTo"/>
        <c:crossAx val="1666123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07402960260466"/>
          <c:y val="7.8082016429046844E-2"/>
          <c:w val="0.68194185562870213"/>
          <c:h val="0.79599761870102115"/>
        </c:manualLayout>
      </c:layout>
      <c:barChart>
        <c:barDir val="col"/>
        <c:grouping val="clustered"/>
        <c:varyColors val="0"/>
        <c:ser>
          <c:idx val="0"/>
          <c:order val="0"/>
          <c:tx>
            <c:strRef>
              <c:f>'Beräkning lagring'!$K$36</c:f>
              <c:strCache>
                <c:ptCount val="1"/>
                <c:pt idx="0">
                  <c:v>Svensk medel-fjärrvärme 2008</c:v>
                </c:pt>
              </c:strCache>
            </c:strRef>
          </c:tx>
          <c:invertIfNegative val="0"/>
          <c:cat>
            <c:strRef>
              <c:f>'Beräkning lagring'!$J$37:$J$42</c:f>
              <c:strCache>
                <c:ptCount val="6"/>
                <c:pt idx="0">
                  <c:v>Liten cistern, 2000 m^3</c:v>
                </c:pt>
                <c:pt idx="1">
                  <c:v>Stor cistern,30 000m^3</c:v>
                </c:pt>
                <c:pt idx="2">
                  <c:v>Medelstor cistern, 9000 m^3</c:v>
                </c:pt>
                <c:pt idx="3">
                  <c:v>t ute = 20 grader</c:v>
                </c:pt>
                <c:pt idx="4">
                  <c:v>t ute = -10</c:v>
                </c:pt>
                <c:pt idx="5">
                  <c:v>Dålig isolering</c:v>
                </c:pt>
              </c:strCache>
            </c:strRef>
          </c:cat>
          <c:val>
            <c:numRef>
              <c:f>'Beräkning lagring'!$K$37:$K$42</c:f>
              <c:numCache>
                <c:formatCode>0.000</c:formatCode>
                <c:ptCount val="6"/>
                <c:pt idx="0">
                  <c:v>2.4575830710797605E-2</c:v>
                </c:pt>
                <c:pt idx="1">
                  <c:v>9.8704649439813868E-3</c:v>
                </c:pt>
                <c:pt idx="2">
                  <c:v>1.456345523602821E-2</c:v>
                </c:pt>
                <c:pt idx="3">
                  <c:v>9.4979055887140524E-3</c:v>
                </c:pt>
                <c:pt idx="4">
                  <c:v>1.8995811177428105E-2</c:v>
                </c:pt>
                <c:pt idx="5">
                  <c:v>2.6699667932718392E-2</c:v>
                </c:pt>
              </c:numCache>
            </c:numRef>
          </c:val>
        </c:ser>
        <c:ser>
          <c:idx val="1"/>
          <c:order val="1"/>
          <c:tx>
            <c:strRef>
              <c:f>'Beräkning lagring'!$L$36</c:f>
              <c:strCache>
                <c:ptCount val="1"/>
                <c:pt idx="0">
                  <c:v>Industriell spillvärme</c:v>
                </c:pt>
              </c:strCache>
            </c:strRef>
          </c:tx>
          <c:invertIfNegative val="0"/>
          <c:cat>
            <c:strRef>
              <c:f>'Beräkning lagring'!$J$37:$J$42</c:f>
              <c:strCache>
                <c:ptCount val="6"/>
                <c:pt idx="0">
                  <c:v>Liten cistern, 2000 m^3</c:v>
                </c:pt>
                <c:pt idx="1">
                  <c:v>Stor cistern,30 000m^3</c:v>
                </c:pt>
                <c:pt idx="2">
                  <c:v>Medelstor cistern, 9000 m^3</c:v>
                </c:pt>
                <c:pt idx="3">
                  <c:v>t ute = 20 grader</c:v>
                </c:pt>
                <c:pt idx="4">
                  <c:v>t ute = -10</c:v>
                </c:pt>
                <c:pt idx="5">
                  <c:v>Dålig isolering</c:v>
                </c:pt>
              </c:strCache>
            </c:strRef>
          </c:cat>
          <c:val>
            <c:numRef>
              <c:f>'Beräkning lagring'!$L$37:$L$42</c:f>
              <c:numCache>
                <c:formatCode>0.000</c:formatCode>
                <c:ptCount val="6"/>
                <c:pt idx="0">
                  <c:v>5.3642323317828833E-3</c:v>
                </c:pt>
                <c:pt idx="1">
                  <c:v>2.154452795728754E-3</c:v>
                </c:pt>
                <c:pt idx="2">
                  <c:v>3.1788043447602268E-3</c:v>
                </c:pt>
                <c:pt idx="3">
                  <c:v>2.0731332683218873E-3</c:v>
                </c:pt>
                <c:pt idx="4">
                  <c:v>4.1462665366437746E-3</c:v>
                </c:pt>
                <c:pt idx="5">
                  <c:v>5.8278079653937501E-3</c:v>
                </c:pt>
              </c:numCache>
            </c:numRef>
          </c:val>
        </c:ser>
        <c:ser>
          <c:idx val="2"/>
          <c:order val="2"/>
          <c:tx>
            <c:strRef>
              <c:f>'Beräkning lagring'!$M$36</c:f>
              <c:strCache>
                <c:ptCount val="1"/>
                <c:pt idx="0">
                  <c:v>Fjärrvärme - biokraftvärme</c:v>
                </c:pt>
              </c:strCache>
            </c:strRef>
          </c:tx>
          <c:invertIfNegative val="0"/>
          <c:cat>
            <c:strRef>
              <c:f>'Beräkning lagring'!$J$37:$J$42</c:f>
              <c:strCache>
                <c:ptCount val="6"/>
                <c:pt idx="0">
                  <c:v>Liten cistern, 2000 m^3</c:v>
                </c:pt>
                <c:pt idx="1">
                  <c:v>Stor cistern,30 000m^3</c:v>
                </c:pt>
                <c:pt idx="2">
                  <c:v>Medelstor cistern, 9000 m^3</c:v>
                </c:pt>
                <c:pt idx="3">
                  <c:v>t ute = 20 grader</c:v>
                </c:pt>
                <c:pt idx="4">
                  <c:v>t ute = -10</c:v>
                </c:pt>
                <c:pt idx="5">
                  <c:v>Dålig isolering</c:v>
                </c:pt>
              </c:strCache>
            </c:strRef>
          </c:cat>
          <c:val>
            <c:numRef>
              <c:f>'Beräkning lagring'!$M$37:$M$42</c:f>
              <c:numCache>
                <c:formatCode>0.000</c:formatCode>
                <c:ptCount val="6"/>
                <c:pt idx="0">
                  <c:v>7.9818453999217047E-3</c:v>
                </c:pt>
                <c:pt idx="1">
                  <c:v>3.205772620072273E-3</c:v>
                </c:pt>
                <c:pt idx="2">
                  <c:v>4.7299824592128619E-3</c:v>
                </c:pt>
                <c:pt idx="3">
                  <c:v>3.0847711690518672E-3</c:v>
                </c:pt>
                <c:pt idx="4">
                  <c:v>6.1695423381037343E-3</c:v>
                </c:pt>
                <c:pt idx="5">
                  <c:v>8.6716345085569163E-3</c:v>
                </c:pt>
              </c:numCache>
            </c:numRef>
          </c:val>
        </c:ser>
        <c:ser>
          <c:idx val="3"/>
          <c:order val="3"/>
          <c:tx>
            <c:strRef>
              <c:f>'Beräkning lagring'!$N$36</c:f>
              <c:strCache>
                <c:ptCount val="1"/>
                <c:pt idx="0">
                  <c:v>Oljepanna</c:v>
                </c:pt>
              </c:strCache>
            </c:strRef>
          </c:tx>
          <c:spPr>
            <a:solidFill>
              <a:schemeClr val="tx1"/>
            </a:solidFill>
          </c:spPr>
          <c:invertIfNegative val="0"/>
          <c:cat>
            <c:strRef>
              <c:f>'Beräkning lagring'!$J$37:$J$42</c:f>
              <c:strCache>
                <c:ptCount val="6"/>
                <c:pt idx="0">
                  <c:v>Liten cistern, 2000 m^3</c:v>
                </c:pt>
                <c:pt idx="1">
                  <c:v>Stor cistern,30 000m^3</c:v>
                </c:pt>
                <c:pt idx="2">
                  <c:v>Medelstor cistern, 9000 m^3</c:v>
                </c:pt>
                <c:pt idx="3">
                  <c:v>t ute = 20 grader</c:v>
                </c:pt>
                <c:pt idx="4">
                  <c:v>t ute = -10</c:v>
                </c:pt>
                <c:pt idx="5">
                  <c:v>Dålig isolering</c:v>
                </c:pt>
              </c:strCache>
            </c:strRef>
          </c:cat>
          <c:val>
            <c:numRef>
              <c:f>'Beräkning lagring'!$N$37:$N$42</c:f>
              <c:numCache>
                <c:formatCode>0.000</c:formatCode>
                <c:ptCount val="6"/>
                <c:pt idx="0">
                  <c:v>8.4049597906227042E-2</c:v>
                </c:pt>
                <c:pt idx="1">
                  <c:v>3.3757093278016827E-2</c:v>
                </c:pt>
                <c:pt idx="2">
                  <c:v>4.9807169129616032E-2</c:v>
                </c:pt>
                <c:pt idx="3">
                  <c:v>3.2482936388880022E-2</c:v>
                </c:pt>
                <c:pt idx="4">
                  <c:v>6.4965872777760045E-2</c:v>
                </c:pt>
                <c:pt idx="5">
                  <c:v>9.1313143404296068E-2</c:v>
                </c:pt>
              </c:numCache>
            </c:numRef>
          </c:val>
        </c:ser>
        <c:ser>
          <c:idx val="4"/>
          <c:order val="4"/>
          <c:tx>
            <c:strRef>
              <c:f>'Beräkning lagring'!$O$36</c:f>
              <c:strCache>
                <c:ptCount val="1"/>
                <c:pt idx="0">
                  <c:v>Fjärrvärme- Stockholm 2009</c:v>
                </c:pt>
              </c:strCache>
            </c:strRef>
          </c:tx>
          <c:invertIfNegative val="0"/>
          <c:cat>
            <c:strRef>
              <c:f>'Beräkning lagring'!$J$37:$J$42</c:f>
              <c:strCache>
                <c:ptCount val="6"/>
                <c:pt idx="0">
                  <c:v>Liten cistern, 2000 m^3</c:v>
                </c:pt>
                <c:pt idx="1">
                  <c:v>Stor cistern,30 000m^3</c:v>
                </c:pt>
                <c:pt idx="2">
                  <c:v>Medelstor cistern, 9000 m^3</c:v>
                </c:pt>
                <c:pt idx="3">
                  <c:v>t ute = 20 grader</c:v>
                </c:pt>
                <c:pt idx="4">
                  <c:v>t ute = -10</c:v>
                </c:pt>
                <c:pt idx="5">
                  <c:v>Dålig isolering</c:v>
                </c:pt>
              </c:strCache>
            </c:strRef>
          </c:cat>
          <c:val>
            <c:numRef>
              <c:f>'Beräkning lagring'!$O$37:$O$42</c:f>
              <c:numCache>
                <c:formatCode>0.000</c:formatCode>
                <c:ptCount val="6"/>
                <c:pt idx="0">
                  <c:v>2.4592813022246331E-2</c:v>
                </c:pt>
                <c:pt idx="1">
                  <c:v>9.8772856009022025E-3</c:v>
                </c:pt>
                <c:pt idx="2">
                  <c:v>1.4573518827997827E-2</c:v>
                </c:pt>
                <c:pt idx="3">
                  <c:v>9.5044688008681499E-3</c:v>
                </c:pt>
                <c:pt idx="4">
                  <c:v>1.90089376017363E-2</c:v>
                </c:pt>
                <c:pt idx="5">
                  <c:v>2.6718117851329354E-2</c:v>
                </c:pt>
              </c:numCache>
            </c:numRef>
          </c:val>
        </c:ser>
        <c:dLbls>
          <c:showLegendKey val="0"/>
          <c:showVal val="0"/>
          <c:showCatName val="0"/>
          <c:showSerName val="0"/>
          <c:showPercent val="0"/>
          <c:showBubbleSize val="0"/>
        </c:dLbls>
        <c:gapWidth val="150"/>
        <c:axId val="166647680"/>
        <c:axId val="166649216"/>
      </c:barChart>
      <c:catAx>
        <c:axId val="166647680"/>
        <c:scaling>
          <c:orientation val="minMax"/>
        </c:scaling>
        <c:delete val="0"/>
        <c:axPos val="b"/>
        <c:majorTickMark val="out"/>
        <c:minorTickMark val="none"/>
        <c:tickLblPos val="nextTo"/>
        <c:crossAx val="166649216"/>
        <c:crosses val="autoZero"/>
        <c:auto val="1"/>
        <c:lblAlgn val="ctr"/>
        <c:lblOffset val="100"/>
        <c:noMultiLvlLbl val="0"/>
      </c:catAx>
      <c:valAx>
        <c:axId val="166649216"/>
        <c:scaling>
          <c:orientation val="minMax"/>
        </c:scaling>
        <c:delete val="0"/>
        <c:axPos val="l"/>
        <c:majorGridlines/>
        <c:title>
          <c:tx>
            <c:rich>
              <a:bodyPr rot="0" vert="horz"/>
              <a:lstStyle/>
              <a:p>
                <a:pPr>
                  <a:defRPr/>
                </a:pPr>
                <a:r>
                  <a:rPr lang="sv-SE"/>
                  <a:t>g CO2e/MJ/månad</a:t>
                </a:r>
              </a:p>
            </c:rich>
          </c:tx>
          <c:layout>
            <c:manualLayout>
              <c:xMode val="edge"/>
              <c:yMode val="edge"/>
              <c:x val="4.776167979002624E-2"/>
              <c:y val="1.2186970586158511E-2"/>
            </c:manualLayout>
          </c:layout>
          <c:overlay val="0"/>
        </c:title>
        <c:numFmt formatCode="0.000" sourceLinked="0"/>
        <c:majorTickMark val="out"/>
        <c:minorTickMark val="none"/>
        <c:tickLblPos val="nextTo"/>
        <c:crossAx val="166647680"/>
        <c:crosses val="autoZero"/>
        <c:crossBetween val="between"/>
      </c:valAx>
    </c:plotArea>
    <c:legend>
      <c:legendPos val="r"/>
      <c:layout>
        <c:manualLayout>
          <c:xMode val="edge"/>
          <c:yMode val="edge"/>
          <c:x val="0.81833315835520548"/>
          <c:y val="0.24645659383861168"/>
          <c:w val="0.17277795275590552"/>
          <c:h val="0.41606253872303056"/>
        </c:manualLayout>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fmlaLink="$I$27"/>
</file>

<file path=xl/ctrlProps/ctrlProp2.xml><?xml version="1.0" encoding="utf-8"?>
<formControlPr xmlns="http://schemas.microsoft.com/office/spreadsheetml/2009/9/main" objectType="CheckBox" checked="Checked" fmlaLink="$I$26"/>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68387</xdr:colOff>
      <xdr:row>81</xdr:row>
      <xdr:rowOff>35718</xdr:rowOff>
    </xdr:from>
    <xdr:to>
      <xdr:col>18</xdr:col>
      <xdr:colOff>850</xdr:colOff>
      <xdr:row>124</xdr:row>
      <xdr:rowOff>178594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987" y="16609218"/>
          <a:ext cx="10413138" cy="834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407457</xdr:colOff>
      <xdr:row>81</xdr:row>
      <xdr:rowOff>51915</xdr:rowOff>
    </xdr:from>
    <xdr:to>
      <xdr:col>16</xdr:col>
      <xdr:colOff>452438</xdr:colOff>
      <xdr:row>93</xdr:row>
      <xdr:rowOff>47625</xdr:rowOff>
    </xdr:to>
    <xdr:sp macro="" textlink="">
      <xdr:nvSpPr>
        <xdr:cNvPr id="3" name="Oval 2"/>
        <xdr:cNvSpPr/>
      </xdr:nvSpPr>
      <xdr:spPr>
        <a:xfrm>
          <a:off x="1017057" y="16625415"/>
          <a:ext cx="9188981" cy="22912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14</xdr:col>
      <xdr:colOff>326411</xdr:colOff>
      <xdr:row>82</xdr:row>
      <xdr:rowOff>185401</xdr:rowOff>
    </xdr:from>
    <xdr:to>
      <xdr:col>18</xdr:col>
      <xdr:colOff>459053</xdr:colOff>
      <xdr:row>85</xdr:row>
      <xdr:rowOff>91887</xdr:rowOff>
    </xdr:to>
    <xdr:cxnSp macro="">
      <xdr:nvCxnSpPr>
        <xdr:cNvPr id="4" name="Straight Connector 3"/>
        <xdr:cNvCxnSpPr>
          <a:stCxn id="3" idx="7"/>
          <a:endCxn id="5" idx="1"/>
        </xdr:cNvCxnSpPr>
      </xdr:nvCxnSpPr>
      <xdr:spPr>
        <a:xfrm>
          <a:off x="8860811" y="16958926"/>
          <a:ext cx="2609142" cy="47798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459053</xdr:colOff>
      <xdr:row>82</xdr:row>
      <xdr:rowOff>100540</xdr:rowOff>
    </xdr:from>
    <xdr:ext cx="3148541" cy="1125693"/>
    <xdr:sp macro="" textlink="">
      <xdr:nvSpPr>
        <xdr:cNvPr id="5" name="TextBox 4"/>
        <xdr:cNvSpPr txBox="1"/>
      </xdr:nvSpPr>
      <xdr:spPr>
        <a:xfrm>
          <a:off x="11469953" y="16874065"/>
          <a:ext cx="3148541" cy="11256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Sammanställning</a:t>
          </a:r>
          <a:r>
            <a:rPr lang="sv-SE" sz="1100" baseline="0"/>
            <a:t> av resultaten i aktuell flik. Emissionerna från ingående delsteg summeras. Diagrammet ger en grafisk översikt över ingående emissioner. Denna del av verktyget kan användaren inte ändra. Resultaten bestäms av de uppgifter som användaren valt nedan.</a:t>
          </a:r>
          <a:endParaRPr lang="sv-SE" sz="1100"/>
        </a:p>
      </xdr:txBody>
    </xdr:sp>
    <xdr:clientData/>
  </xdr:oneCellAnchor>
  <xdr:twoCellAnchor>
    <xdr:from>
      <xdr:col>18</xdr:col>
      <xdr:colOff>433261</xdr:colOff>
      <xdr:row>98</xdr:row>
      <xdr:rowOff>34385</xdr:rowOff>
    </xdr:from>
    <xdr:to>
      <xdr:col>18</xdr:col>
      <xdr:colOff>529167</xdr:colOff>
      <xdr:row>99</xdr:row>
      <xdr:rowOff>65483</xdr:rowOff>
    </xdr:to>
    <xdr:cxnSp macro="">
      <xdr:nvCxnSpPr>
        <xdr:cNvPr id="6" name="Straight Connector 5"/>
        <xdr:cNvCxnSpPr>
          <a:stCxn id="12" idx="1"/>
          <a:endCxn id="7" idx="1"/>
        </xdr:cNvCxnSpPr>
      </xdr:nvCxnSpPr>
      <xdr:spPr>
        <a:xfrm flipV="1">
          <a:off x="11444161" y="19855910"/>
          <a:ext cx="95906" cy="22159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529167</xdr:colOff>
      <xdr:row>97</xdr:row>
      <xdr:rowOff>92605</xdr:rowOff>
    </xdr:from>
    <xdr:ext cx="1947337" cy="264560"/>
    <xdr:sp macro="" textlink="">
      <xdr:nvSpPr>
        <xdr:cNvPr id="7" name="TextBox 6"/>
        <xdr:cNvSpPr txBox="1"/>
      </xdr:nvSpPr>
      <xdr:spPr>
        <a:xfrm>
          <a:off x="11540067" y="19723630"/>
          <a:ext cx="194733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Sektion</a:t>
          </a:r>
          <a:r>
            <a:rPr lang="sv-SE" sz="1100" baseline="0"/>
            <a:t> för grundinställningar.</a:t>
          </a:r>
          <a:endParaRPr lang="sv-SE" sz="1100"/>
        </a:p>
      </xdr:txBody>
    </xdr:sp>
    <xdr:clientData/>
  </xdr:oneCellAnchor>
  <xdr:twoCellAnchor>
    <xdr:from>
      <xdr:col>18</xdr:col>
      <xdr:colOff>109801</xdr:colOff>
      <xdr:row>103</xdr:row>
      <xdr:rowOff>104510</xdr:rowOff>
    </xdr:from>
    <xdr:to>
      <xdr:col>18</xdr:col>
      <xdr:colOff>459718</xdr:colOff>
      <xdr:row>125</xdr:row>
      <xdr:rowOff>23812</xdr:rowOff>
    </xdr:to>
    <xdr:sp macro="" textlink="">
      <xdr:nvSpPr>
        <xdr:cNvPr id="8" name="Right Brace 7"/>
        <xdr:cNvSpPr/>
      </xdr:nvSpPr>
      <xdr:spPr>
        <a:xfrm>
          <a:off x="11120701" y="20878535"/>
          <a:ext cx="349917" cy="4110302"/>
        </a:xfrm>
        <a:prstGeom prst="rightBrace">
          <a:avLst>
            <a:gd name="adj1" fmla="val 8333"/>
            <a:gd name="adj2" fmla="val 2729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400"/>
        </a:p>
      </xdr:txBody>
    </xdr:sp>
    <xdr:clientData/>
  </xdr:twoCellAnchor>
  <xdr:twoCellAnchor>
    <xdr:from>
      <xdr:col>18</xdr:col>
      <xdr:colOff>459718</xdr:colOff>
      <xdr:row>109</xdr:row>
      <xdr:rowOff>83211</xdr:rowOff>
    </xdr:from>
    <xdr:to>
      <xdr:col>19</xdr:col>
      <xdr:colOff>0</xdr:colOff>
      <xdr:row>117</xdr:row>
      <xdr:rowOff>119063</xdr:rowOff>
    </xdr:to>
    <xdr:cxnSp macro="">
      <xdr:nvCxnSpPr>
        <xdr:cNvPr id="9" name="Straight Connector 8"/>
        <xdr:cNvCxnSpPr>
          <a:stCxn id="8" idx="1"/>
          <a:endCxn id="10" idx="1"/>
        </xdr:cNvCxnSpPr>
      </xdr:nvCxnSpPr>
      <xdr:spPr>
        <a:xfrm>
          <a:off x="11470618" y="22000236"/>
          <a:ext cx="149882" cy="155985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0</xdr:colOff>
      <xdr:row>117</xdr:row>
      <xdr:rowOff>0</xdr:rowOff>
    </xdr:from>
    <xdr:to>
      <xdr:col>21</xdr:col>
      <xdr:colOff>323851</xdr:colOff>
      <xdr:row>118</xdr:row>
      <xdr:rowOff>47625</xdr:rowOff>
    </xdr:to>
    <xdr:pic>
      <xdr:nvPicPr>
        <xdr:cNvPr id="1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20500" y="23441025"/>
          <a:ext cx="15430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120</xdr:row>
      <xdr:rowOff>0</xdr:rowOff>
    </xdr:from>
    <xdr:to>
      <xdr:col>22</xdr:col>
      <xdr:colOff>133351</xdr:colOff>
      <xdr:row>121</xdr:row>
      <xdr:rowOff>9525</xdr:rowOff>
    </xdr:to>
    <xdr:pic>
      <xdr:nvPicPr>
        <xdr:cNvPr id="11" name="Picture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20500" y="24012525"/>
          <a:ext cx="1962151"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83344</xdr:colOff>
      <xdr:row>95</xdr:row>
      <xdr:rowOff>107154</xdr:rowOff>
    </xdr:from>
    <xdr:to>
      <xdr:col>18</xdr:col>
      <xdr:colOff>433261</xdr:colOff>
      <xdr:row>103</xdr:row>
      <xdr:rowOff>23811</xdr:rowOff>
    </xdr:to>
    <xdr:sp macro="" textlink="">
      <xdr:nvSpPr>
        <xdr:cNvPr id="12" name="Right Brace 11"/>
        <xdr:cNvSpPr/>
      </xdr:nvSpPr>
      <xdr:spPr>
        <a:xfrm>
          <a:off x="11094244" y="19357179"/>
          <a:ext cx="349917" cy="144065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400"/>
        </a:p>
      </xdr:txBody>
    </xdr:sp>
    <xdr:clientData/>
  </xdr:twoCellAnchor>
  <xdr:twoCellAnchor editAs="oneCell">
    <xdr:from>
      <xdr:col>0</xdr:col>
      <xdr:colOff>571499</xdr:colOff>
      <xdr:row>16</xdr:row>
      <xdr:rowOff>1</xdr:rowOff>
    </xdr:from>
    <xdr:to>
      <xdr:col>14</xdr:col>
      <xdr:colOff>223663</xdr:colOff>
      <xdr:row>30</xdr:row>
      <xdr:rowOff>119063</xdr:rowOff>
    </xdr:to>
    <xdr:pic>
      <xdr:nvPicPr>
        <xdr:cNvPr id="13" name="Picture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1499" y="3214689"/>
          <a:ext cx="8236570" cy="2786062"/>
        </a:xfrm>
        <a:prstGeom prst="rect">
          <a:avLst/>
        </a:prstGeom>
        <a:noFill/>
        <a:effectLst>
          <a:outerShdw blurRad="101600" dist="241300" dir="2280000" algn="ctr" rotWithShape="0">
            <a:srgbClr val="000000">
              <a:alpha val="43137"/>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71438</xdr:colOff>
      <xdr:row>94</xdr:row>
      <xdr:rowOff>0</xdr:rowOff>
    </xdr:from>
    <xdr:to>
      <xdr:col>19</xdr:col>
      <xdr:colOff>0</xdr:colOff>
      <xdr:row>94</xdr:row>
      <xdr:rowOff>178594</xdr:rowOff>
    </xdr:to>
    <xdr:cxnSp macro="">
      <xdr:nvCxnSpPr>
        <xdr:cNvPr id="14" name="Straight Connector 13"/>
        <xdr:cNvCxnSpPr/>
      </xdr:nvCxnSpPr>
      <xdr:spPr>
        <a:xfrm flipV="1">
          <a:off x="11082338" y="19059525"/>
          <a:ext cx="538162" cy="17859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0</xdr:colOff>
      <xdr:row>93</xdr:row>
      <xdr:rowOff>47625</xdr:rowOff>
    </xdr:from>
    <xdr:ext cx="1947337" cy="436786"/>
    <xdr:sp macro="" textlink="">
      <xdr:nvSpPr>
        <xdr:cNvPr id="15" name="TextBox 14"/>
        <xdr:cNvSpPr txBox="1"/>
      </xdr:nvSpPr>
      <xdr:spPr>
        <a:xfrm>
          <a:off x="11620500" y="18916650"/>
          <a:ext cx="1947337"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Börja</a:t>
          </a:r>
          <a:r>
            <a:rPr lang="sv-SE" sz="1100" baseline="0"/>
            <a:t> välja uppgifter i fälten här nedanför.</a:t>
          </a:r>
          <a:endParaRPr lang="sv-SE" sz="1100"/>
        </a:p>
      </xdr:txBody>
    </xdr:sp>
    <xdr:clientData/>
  </xdr:oneCellAnchor>
  <xdr:oneCellAnchor>
    <xdr:from>
      <xdr:col>0</xdr:col>
      <xdr:colOff>607217</xdr:colOff>
      <xdr:row>147</xdr:row>
      <xdr:rowOff>119064</xdr:rowOff>
    </xdr:from>
    <xdr:ext cx="9501189" cy="2158924"/>
    <xdr:sp macro="" textlink="">
      <xdr:nvSpPr>
        <xdr:cNvPr id="16" name="TextBox 15"/>
        <xdr:cNvSpPr txBox="1"/>
      </xdr:nvSpPr>
      <xdr:spPr>
        <a:xfrm>
          <a:off x="607217" y="26920033"/>
          <a:ext cx="9501189" cy="2158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0" i="0" u="none" strike="noStrike">
              <a:solidFill>
                <a:schemeClr val="tx1"/>
              </a:solidFill>
              <a:effectLst/>
              <a:latin typeface="+mn-lt"/>
              <a:ea typeface="+mn-ea"/>
              <a:cs typeface="+mn-cs"/>
            </a:rPr>
            <a:t>Från användarens synvinkel är det ofta svårt att specificera i detalj vilken typ av tankerfartyg som används, eftersom inköparen vanligen inte har egna fartyg som fraktar produkten. </a:t>
          </a:r>
          <a:r>
            <a:rPr lang="sv-SE" sz="1200"/>
            <a:t> </a:t>
          </a:r>
          <a:r>
            <a:rPr lang="sv-SE" sz="1200" b="0" i="0" u="none" strike="noStrike">
              <a:solidFill>
                <a:schemeClr val="tx1"/>
              </a:solidFill>
              <a:effectLst/>
              <a:latin typeface="+mn-lt"/>
              <a:ea typeface="+mn-ea"/>
              <a:cs typeface="+mn-cs"/>
            </a:rPr>
            <a:t>Istället köps en viss mängd produkt upp, och kan även omlastas i till exempel Rotterdam innan vidare transport. Inköparen har sällan kunskap om den exakta rutten eller typen av fartyg, och den egentliga transportsträckan är därför vanligen längre än från ”A till B”.</a:t>
          </a:r>
          <a:r>
            <a:rPr lang="sv-SE" sz="1200"/>
            <a:t> Vid sjötransport väljs ursprungsland och fartygsbränsle. Långa transporter sker med tankerfartyg (chemical tanker) med en kapacitet på 100 kton. </a:t>
          </a:r>
          <a:r>
            <a:rPr lang="sv-SE" sz="1200" b="0" i="0" u="none" strike="noStrike">
              <a:solidFill>
                <a:schemeClr val="tx1"/>
              </a:solidFill>
              <a:effectLst/>
              <a:latin typeface="+mn-lt"/>
              <a:ea typeface="+mn-ea"/>
              <a:cs typeface="+mn-cs"/>
            </a:rPr>
            <a:t>För kustnära transporter samt för transport från eventuell omlastning till Sverige antas ett mindre tankfartyg.</a:t>
          </a:r>
          <a:r>
            <a:rPr lang="sv-SE" sz="1200"/>
            <a:t> </a:t>
          </a:r>
          <a:r>
            <a:rPr lang="sv-SE" sz="1200" b="0" i="0" u="none" strike="noStrike">
              <a:solidFill>
                <a:schemeClr val="tx1"/>
              </a:solidFill>
              <a:effectLst/>
              <a:latin typeface="+mn-lt"/>
              <a:ea typeface="+mn-ea"/>
              <a:cs typeface="+mn-cs"/>
            </a:rPr>
            <a:t>Fartygens kapacitetsutnyttjande (fyllnadsgrad) varierar kring 50 % i normal trafik. Detta antagande baseras på att en exakt fyllnadsgrad är svår att erhålla då fartygen angör flera hamnar och transporterar olika typer av gods.</a:t>
          </a:r>
          <a:r>
            <a:rPr lang="sv-SE" sz="1200"/>
            <a:t> </a:t>
          </a:r>
          <a:r>
            <a:rPr lang="sv-SE" sz="1200" b="0" i="0" u="none" strike="noStrike">
              <a:solidFill>
                <a:schemeClr val="tx1"/>
              </a:solidFill>
              <a:effectLst/>
              <a:latin typeface="+mn-lt"/>
              <a:ea typeface="+mn-ea"/>
              <a:cs typeface="+mn-cs"/>
            </a:rPr>
            <a:t>Den bränsleförbrukning som används i beräkningsexemplen är framtagen av NTM som ett representativt värde för snittlast enligt resonemanget ovan samt normal sjögång.</a:t>
          </a:r>
          <a:r>
            <a:rPr lang="sv-SE" sz="1200"/>
            <a:t> Om den rapporteringsskyldige inte har vetskap om efterfrågad data finns möjlighet att välja restriktiva standardvärden (genom att välja "okänt" eller motsvarande). Det är alltså fördelaktigt att ta reda på aktuella värden för bränslekedjan ifråga. </a:t>
          </a:r>
        </a:p>
        <a:p>
          <a:endParaRPr lang="sv-SE" sz="1200"/>
        </a:p>
      </xdr:txBody>
    </xdr:sp>
    <xdr:clientData/>
  </xdr:oneCellAnchor>
  <xdr:oneCellAnchor>
    <xdr:from>
      <xdr:col>1</xdr:col>
      <xdr:colOff>0</xdr:colOff>
      <xdr:row>136</xdr:row>
      <xdr:rowOff>107156</xdr:rowOff>
    </xdr:from>
    <xdr:ext cx="9501188" cy="1595309"/>
    <xdr:sp macro="" textlink="">
      <xdr:nvSpPr>
        <xdr:cNvPr id="17" name="TextBox 16"/>
        <xdr:cNvSpPr txBox="1"/>
      </xdr:nvSpPr>
      <xdr:spPr>
        <a:xfrm>
          <a:off x="1214438" y="11620500"/>
          <a:ext cx="9501188" cy="1595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0" i="0" u="none" strike="noStrike">
              <a:solidFill>
                <a:schemeClr val="tx1"/>
              </a:solidFill>
              <a:effectLst/>
              <a:latin typeface="+mn-lt"/>
              <a:ea typeface="+mn-ea"/>
              <a:cs typeface="+mn-cs"/>
            </a:rPr>
            <a:t>För vägtransporter går det att välja stor eller liten tankbil, eller Okänt fordon. Den mindre tankbilen ger följaktligen något lägre emissioner än den större. I alla vägtransporter antas att returtransporten är tom, dvs returtransporten belastar det transporterade biobränslet.</a:t>
          </a:r>
          <a:r>
            <a:rPr lang="sv-SE" sz="1200"/>
            <a:t> </a:t>
          </a:r>
          <a:r>
            <a:rPr lang="sv-SE" sz="1200" b="0" i="0" u="none" strike="noStrike">
              <a:solidFill>
                <a:schemeClr val="tx1"/>
              </a:solidFill>
              <a:effectLst/>
              <a:latin typeface="+mn-lt"/>
              <a:ea typeface="+mn-ea"/>
              <a:cs typeface="+mn-cs"/>
            </a:rPr>
            <a:t>Lastgraden antas alltså vara 100 % till destinationen och 0 % tillbaka. Stor tankbil har en lastkapacitet på 30 ton och den mindre på 15 ton. Välj det alternativ som passar bäst.</a:t>
          </a:r>
          <a:r>
            <a:rPr lang="sv-SE" sz="1200"/>
            <a:t> </a:t>
          </a:r>
          <a:r>
            <a:rPr lang="sv-SE" sz="1200" b="0" i="0" u="none" strike="noStrike">
              <a:solidFill>
                <a:schemeClr val="tx1"/>
              </a:solidFill>
              <a:effectLst/>
              <a:latin typeface="+mn-lt"/>
              <a:ea typeface="+mn-ea"/>
              <a:cs typeface="+mn-cs"/>
            </a:rPr>
            <a:t>Fordonsbränsle kan väljas. Det kan till exempel vara så att diesel med 5 % låginblandad RME används i Sverige, medan 100 % fossil diesel används under transport i annat land.</a:t>
          </a:r>
          <a:r>
            <a:rPr lang="sv-SE" sz="1200"/>
            <a:t> </a:t>
          </a:r>
          <a:r>
            <a:rPr lang="sv-SE" sz="1200" b="0" i="0" u="none" strike="noStrike">
              <a:solidFill>
                <a:schemeClr val="tx1"/>
              </a:solidFill>
              <a:effectLst/>
              <a:latin typeface="+mn-lt"/>
              <a:ea typeface="+mn-ea"/>
              <a:cs typeface="+mn-cs"/>
            </a:rPr>
            <a:t>Bakgrunddata till de två fordonstyperna baseras på NTM (Nätverket för transport och miljö).</a:t>
          </a:r>
          <a:r>
            <a:rPr lang="sv-SE" sz="1200"/>
            <a:t> </a:t>
          </a:r>
          <a:r>
            <a:rPr lang="sv-SE" sz="1200" baseline="0"/>
            <a:t> Transportavståndet anges i antal kilometer. Finns god kunskap om det aktuella transportavståndet kan ett genomsnittligt transportavstånd användas. Saknas detaljerad information om transportavståndetär det bättre att ange det längsta avståndet, alternativt ett restriktivt avstånd som med säkerhet motsvarar den aktuella transportsträckan.</a:t>
          </a:r>
          <a:endParaRPr lang="sv-SE" sz="1200"/>
        </a:p>
      </xdr:txBody>
    </xdr:sp>
    <xdr:clientData/>
  </xdr:oneCellAnchor>
  <xdr:oneCellAnchor>
    <xdr:from>
      <xdr:col>0</xdr:col>
      <xdr:colOff>583404</xdr:colOff>
      <xdr:row>44</xdr:row>
      <xdr:rowOff>83341</xdr:rowOff>
    </xdr:from>
    <xdr:ext cx="10263190" cy="2346796"/>
    <xdr:sp macro="" textlink="">
      <xdr:nvSpPr>
        <xdr:cNvPr id="18" name="TextBox 17"/>
        <xdr:cNvSpPr txBox="1"/>
      </xdr:nvSpPr>
      <xdr:spPr>
        <a:xfrm>
          <a:off x="583404" y="8715372"/>
          <a:ext cx="10263190" cy="2346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0" i="0" u="none" strike="noStrike">
              <a:solidFill>
                <a:schemeClr val="tx1"/>
              </a:solidFill>
              <a:effectLst/>
              <a:latin typeface="+mn-lt"/>
              <a:ea typeface="+mn-ea"/>
              <a:cs typeface="+mn-cs"/>
            </a:rPr>
            <a:t>Denna version av verktyget behandlar biooljor (restoljor samt primära oljor från oljepalm, soja, raps och solros).</a:t>
          </a:r>
          <a:r>
            <a:rPr lang="sv-SE" sz="1200"/>
            <a:t> </a:t>
          </a:r>
          <a:r>
            <a:rPr lang="sv-SE" sz="1200" b="0" i="0" u="none" strike="noStrike">
              <a:solidFill>
                <a:schemeClr val="tx1"/>
              </a:solidFill>
              <a:effectLst/>
              <a:latin typeface="+mn-lt"/>
              <a:ea typeface="+mn-ea"/>
              <a:cs typeface="+mn-cs"/>
            </a:rPr>
            <a:t>Enligt Energimyndighetens vägledning (STEMFS2011:2) finns tre alternativ för beräkning av växthusgasminskning: 1) normalvärden</a:t>
          </a:r>
          <a:r>
            <a:rPr lang="sv-SE" sz="1200" b="0" i="0" u="none" strike="noStrike" baseline="0">
              <a:solidFill>
                <a:schemeClr val="tx1"/>
              </a:solidFill>
              <a:effectLst/>
              <a:latin typeface="+mn-lt"/>
              <a:ea typeface="+mn-ea"/>
              <a:cs typeface="+mn-cs"/>
            </a:rPr>
            <a:t> f</a:t>
          </a:r>
          <a:r>
            <a:rPr lang="sv-SE" sz="1200" b="0" i="0" u="none" strike="noStrike">
              <a:solidFill>
                <a:schemeClr val="tx1"/>
              </a:solidFill>
              <a:effectLst/>
              <a:latin typeface="+mn-lt"/>
              <a:ea typeface="+mn-ea"/>
              <a:cs typeface="+mn-cs"/>
            </a:rPr>
            <a:t>ör hela produktionskedjan, 2) beräkning av ett faktiskt värde</a:t>
          </a:r>
          <a:r>
            <a:rPr lang="sv-SE" sz="1200"/>
            <a:t> </a:t>
          </a:r>
          <a:r>
            <a:rPr lang="sv-SE" sz="1200" b="0" i="0" u="none" strike="noStrike">
              <a:solidFill>
                <a:schemeClr val="tx1"/>
              </a:solidFill>
              <a:effectLst/>
              <a:latin typeface="+mn-lt"/>
              <a:ea typeface="+mn-ea"/>
              <a:cs typeface="+mn-cs"/>
            </a:rPr>
            <a:t>för hela produktionskedjan eller genom 3) att använda en kombination av delnormalvärden och faktiska värden. I verktyget används en kombination av dessa, främst faktiska värden.</a:t>
          </a:r>
          <a:r>
            <a:rPr lang="sv-SE" sz="1200"/>
            <a:t> </a:t>
          </a:r>
          <a:r>
            <a:rPr lang="sv-SE" sz="1200" b="0" i="0" u="none" strike="noStrike">
              <a:solidFill>
                <a:schemeClr val="tx1"/>
              </a:solidFill>
              <a:effectLst/>
              <a:latin typeface="+mn-lt"/>
              <a:ea typeface="+mn-ea"/>
              <a:cs typeface="+mn-cs"/>
            </a:rPr>
            <a:t>Verktyget är utformat utifrån den information som den rapporteringsskyldige kan tänkas ha vetskap om. Om den rapporteringsskyldige inte har vetskap om efterfrågad data finns möjlighet att välja restriktiva standardvärden (genom att välja "okänt" eller motsvarande).</a:t>
          </a:r>
          <a:r>
            <a:rPr lang="sv-SE" sz="1200"/>
            <a:t> </a:t>
          </a:r>
          <a:r>
            <a:rPr lang="sv-SE" sz="1200" b="0" i="0" u="none" strike="noStrike">
              <a:solidFill>
                <a:schemeClr val="tx1"/>
              </a:solidFill>
              <a:effectLst/>
              <a:latin typeface="+mn-lt"/>
              <a:ea typeface="+mn-ea"/>
              <a:cs typeface="+mn-cs"/>
            </a:rPr>
            <a:t>Det är alltså fördelaktigt att ta reda på aktuella värden för bränslekedjan ifråga.</a:t>
          </a:r>
          <a:r>
            <a:rPr lang="sv-SE" sz="1200"/>
            <a:t> </a:t>
          </a:r>
        </a:p>
        <a:p>
          <a:endParaRPr lang="sv-SE" sz="1200" b="0" i="0" u="none" strike="noStrike">
            <a:solidFill>
              <a:schemeClr val="tx1"/>
            </a:solidFill>
            <a:effectLst/>
            <a:latin typeface="+mn-lt"/>
            <a:ea typeface="+mn-ea"/>
            <a:cs typeface="+mn-cs"/>
          </a:endParaRPr>
        </a:p>
        <a:p>
          <a:r>
            <a:rPr lang="sv-SE" sz="1200" b="0" i="0" u="none" strike="noStrike">
              <a:solidFill>
                <a:schemeClr val="tx1"/>
              </a:solidFill>
              <a:effectLst/>
              <a:latin typeface="+mn-lt"/>
              <a:ea typeface="+mn-ea"/>
              <a:cs typeface="+mn-cs"/>
            </a:rPr>
            <a:t>Emissionsposter som understiger 0,1 g CO</a:t>
          </a:r>
          <a:r>
            <a:rPr lang="sv-SE" sz="1200" b="0" i="0" u="none" strike="noStrike" baseline="-25000">
              <a:solidFill>
                <a:schemeClr val="tx1"/>
              </a:solidFill>
              <a:effectLst/>
              <a:latin typeface="+mn-lt"/>
              <a:ea typeface="+mn-ea"/>
              <a:cs typeface="+mn-cs"/>
            </a:rPr>
            <a:t>2eq</a:t>
          </a:r>
          <a:r>
            <a:rPr lang="sv-SE" sz="1200" b="0" i="0" u="none" strike="noStrike">
              <a:solidFill>
                <a:schemeClr val="tx1"/>
              </a:solidFill>
              <a:effectLst/>
              <a:latin typeface="+mn-lt"/>
              <a:ea typeface="+mn-ea"/>
              <a:cs typeface="+mn-cs"/>
            </a:rPr>
            <a:t>/MJ behöver enligt Energimyndighetens föreskrifter inte inkluderas i de totala emissionerna, eftersom bidraget från den aktuella posten anses vara för litet. I verktyget tas dessa</a:t>
          </a:r>
          <a:r>
            <a:rPr lang="sv-SE" sz="1200"/>
            <a:t> </a:t>
          </a:r>
          <a:r>
            <a:rPr lang="sv-SE" sz="1200" b="0" i="0" u="none" strike="noStrike">
              <a:solidFill>
                <a:schemeClr val="tx1"/>
              </a:solidFill>
              <a:effectLst/>
              <a:latin typeface="+mn-lt"/>
              <a:ea typeface="+mn-ea"/>
              <a:cs typeface="+mn-cs"/>
            </a:rPr>
            <a:t>emissioner med ändå eftersom det ger en mer fullständig bild av de totala emisionerna.</a:t>
          </a:r>
          <a:r>
            <a:rPr lang="sv-SE" sz="1200"/>
            <a:t> </a:t>
          </a:r>
          <a:endParaRPr lang="sv-SE" sz="1200" baseline="0"/>
        </a:p>
        <a:p>
          <a:r>
            <a:rPr lang="sv-SE" sz="1200" baseline="0"/>
            <a:t>I verktyget har vissa avgränsningar gjorts genom antaganden för hur stora emissionsbidragen är från olika aktiviteter. Till exempel antas emissionerna i samband med omlastning (elförbrukning, emissioner från hantering av last etc. och uppvärmning av biooljan i fartygens lastrum understiga 0,1 gCO</a:t>
          </a:r>
          <a:r>
            <a:rPr lang="sv-SE" sz="1200" baseline="-25000"/>
            <a:t>2eq</a:t>
          </a:r>
          <a:r>
            <a:rPr lang="sv-SE" sz="1200" baseline="0"/>
            <a:t>/MJ, och ingår därför inte i verktyget.</a:t>
          </a:r>
          <a:endParaRPr lang="sv-SE" sz="1200"/>
        </a:p>
      </xdr:txBody>
    </xdr:sp>
    <xdr:clientData/>
  </xdr:oneCellAnchor>
  <xdr:oneCellAnchor>
    <xdr:from>
      <xdr:col>0</xdr:col>
      <xdr:colOff>595312</xdr:colOff>
      <xdr:row>34</xdr:row>
      <xdr:rowOff>119059</xdr:rowOff>
    </xdr:from>
    <xdr:ext cx="10167938" cy="1219565"/>
    <xdr:sp macro="" textlink="">
      <xdr:nvSpPr>
        <xdr:cNvPr id="19" name="TextBox 18"/>
        <xdr:cNvSpPr txBox="1"/>
      </xdr:nvSpPr>
      <xdr:spPr>
        <a:xfrm>
          <a:off x="595312" y="6798465"/>
          <a:ext cx="10167938"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a:solidFill>
                <a:schemeClr val="tx1"/>
              </a:solidFill>
              <a:effectLst/>
              <a:latin typeface="+mn-lt"/>
              <a:ea typeface="+mn-ea"/>
              <a:cs typeface="+mn-cs"/>
            </a:rPr>
            <a:t>Enligt Energimyndighetens vägledning till regelverket om hållbarhetskriterier för biodrivmedel och flytande biobränslen gäller särskilda bestämmelser för bränslen från avfall eller restprodukter. För industriella restprodukter och avfall behöver inte markkriterierna eller ändrad markanvändning beaktas (för restprodukter från jordbruk och skogsbruk ska dock markkriterierna visas). Exempel på industriella restprodukter är tallbeckolja och fria fettsyror m.m. För avfall och alla typer av restprodukter ska växthusgasutsläppen anses vara 0 fram till dess att materialen samlas in. Växthusgasemissionerna beror mycket på om produkten är en restprodukt/avfall eller ej eftersom emissioner förknippade med odling eller ändrad markanvändning inte ingår om så är fallet. Mer information för att avgöra om biobränslet klassas som restprodukt finns i Energimyndighetens vägledning.</a:t>
          </a:r>
          <a:endParaRPr lang="sv-SE" sz="1400"/>
        </a:p>
      </xdr:txBody>
    </xdr:sp>
    <xdr:clientData/>
  </xdr:oneCellAnchor>
  <xdr:oneCellAnchor>
    <xdr:from>
      <xdr:col>1</xdr:col>
      <xdr:colOff>11906</xdr:colOff>
      <xdr:row>11</xdr:row>
      <xdr:rowOff>119060</xdr:rowOff>
    </xdr:from>
    <xdr:ext cx="9810749" cy="655949"/>
    <xdr:sp macro="" textlink="">
      <xdr:nvSpPr>
        <xdr:cNvPr id="20" name="TextBox 19"/>
        <xdr:cNvSpPr txBox="1"/>
      </xdr:nvSpPr>
      <xdr:spPr>
        <a:xfrm>
          <a:off x="619125" y="2369341"/>
          <a:ext cx="9810749"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0" i="0" u="none" strike="noStrike">
              <a:solidFill>
                <a:schemeClr val="tx1"/>
              </a:solidFill>
              <a:effectLst/>
              <a:latin typeface="+mn-lt"/>
              <a:ea typeface="+mn-ea"/>
              <a:cs typeface="+mn-cs"/>
            </a:rPr>
            <a:t>I förnybartdirektivet  anges hur hänsyn skall tas till emissioner i samband med utsläpp av växthusgaser i produktionskedjan för flytande och gasformiga biobränslen. </a:t>
          </a:r>
          <a:r>
            <a:rPr lang="sv-SE" sz="1200">
              <a:effectLst/>
            </a:rPr>
            <a:t> </a:t>
          </a:r>
          <a:r>
            <a:rPr lang="sv-SE" sz="1200" b="0" i="0" u="none" strike="noStrike">
              <a:solidFill>
                <a:schemeClr val="tx1"/>
              </a:solidFill>
              <a:effectLst/>
              <a:latin typeface="+mn-lt"/>
              <a:ea typeface="+mn-ea"/>
              <a:cs typeface="+mn-cs"/>
            </a:rPr>
            <a:t>I Sverige utgår metodiken från Energimyndighetens föreskrifter om hållbarhetskriterier för biodrivmedel och flytande biobränslen (STEMFS 2011:2). Enligt kapitel 7 i föreskriften ska växthusgasutsläppen beräknas enligt:</a:t>
          </a:r>
          <a:r>
            <a:rPr lang="sv-SE" sz="1200">
              <a:effectLst/>
            </a:rPr>
            <a:t> </a:t>
          </a:r>
        </a:p>
      </xdr:txBody>
    </xdr:sp>
    <xdr:clientData/>
  </xdr:oneCellAnchor>
  <xdr:oneCellAnchor>
    <xdr:from>
      <xdr:col>1</xdr:col>
      <xdr:colOff>0</xdr:colOff>
      <xdr:row>3</xdr:row>
      <xdr:rowOff>119063</xdr:rowOff>
    </xdr:from>
    <xdr:ext cx="10026843" cy="655949"/>
    <xdr:sp macro="" textlink="">
      <xdr:nvSpPr>
        <xdr:cNvPr id="21" name="TextBox 20"/>
        <xdr:cNvSpPr txBox="1"/>
      </xdr:nvSpPr>
      <xdr:spPr>
        <a:xfrm>
          <a:off x="609600" y="804863"/>
          <a:ext cx="10026843"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0" i="0" u="none" strike="noStrike">
              <a:solidFill>
                <a:schemeClr val="tx1"/>
              </a:solidFill>
              <a:effectLst/>
              <a:latin typeface="+mn-lt"/>
              <a:ea typeface="+mn-ea"/>
              <a:cs typeface="+mn-cs"/>
            </a:rPr>
            <a:t>Detta verktyg är utvecklat av IVL Svenska Miljöinstitutet AB och beräknar emissionerna från användning av biooljor enligt Energimyndighetens föreskrifter för beräkning av växthusgasutsläpp (STEMFS2011:2).</a:t>
          </a:r>
          <a:r>
            <a:rPr lang="sv-SE" sz="1200"/>
            <a:t> </a:t>
          </a:r>
          <a:r>
            <a:rPr lang="sv-SE" sz="1200" b="0" i="0" u="none" strike="noStrike">
              <a:solidFill>
                <a:schemeClr val="tx1"/>
              </a:solidFill>
              <a:effectLst/>
              <a:latin typeface="+mn-lt"/>
              <a:ea typeface="+mn-ea"/>
              <a:cs typeface="+mn-cs"/>
            </a:rPr>
            <a:t>Beräkningarna avser gram koldioxidekvivalenter per megajoule bränsle (g CO</a:t>
          </a:r>
          <a:r>
            <a:rPr lang="sv-SE" sz="1200" b="0" i="0" u="none" strike="noStrike" baseline="-25000">
              <a:solidFill>
                <a:schemeClr val="tx1"/>
              </a:solidFill>
              <a:effectLst/>
              <a:latin typeface="+mn-lt"/>
              <a:ea typeface="+mn-ea"/>
              <a:cs typeface="+mn-cs"/>
            </a:rPr>
            <a:t>2eq</a:t>
          </a:r>
          <a:r>
            <a:rPr lang="sv-SE" sz="1200" b="0" i="0" u="none" strike="noStrike">
              <a:solidFill>
                <a:schemeClr val="tx1"/>
              </a:solidFill>
              <a:effectLst/>
              <a:latin typeface="+mn-lt"/>
              <a:ea typeface="+mn-ea"/>
              <a:cs typeface="+mn-cs"/>
            </a:rPr>
            <a:t>/MJ).</a:t>
          </a:r>
          <a:r>
            <a:rPr lang="sv-SE" sz="1200"/>
            <a:t> </a:t>
          </a:r>
          <a:r>
            <a:rPr lang="sv-SE" sz="1200" b="0" i="0" u="none" strike="noStrike">
              <a:solidFill>
                <a:schemeClr val="tx1"/>
              </a:solidFill>
              <a:effectLst/>
              <a:latin typeface="+mn-lt"/>
              <a:ea typeface="+mn-ea"/>
              <a:cs typeface="+mn-cs"/>
            </a:rPr>
            <a:t> </a:t>
          </a:r>
          <a:r>
            <a:rPr lang="sv-SE" sz="1200"/>
            <a:t> </a:t>
          </a:r>
          <a:r>
            <a:rPr lang="sv-SE" sz="1200" b="0" i="0" u="none" strike="noStrike">
              <a:solidFill>
                <a:schemeClr val="tx1"/>
              </a:solidFill>
              <a:effectLst/>
              <a:latin typeface="+mn-lt"/>
              <a:ea typeface="+mn-ea"/>
              <a:cs typeface="+mn-cs"/>
            </a:rPr>
            <a:t>Verktyget består av en eller flera beräkningsflikar (se förklaring nedan). Resultaten från beräkningarna summeras till en resultatflik.</a:t>
          </a:r>
          <a:r>
            <a:rPr lang="sv-SE" sz="1200"/>
            <a:t> </a:t>
          </a:r>
        </a:p>
      </xdr:txBody>
    </xdr:sp>
    <xdr:clientData/>
  </xdr:oneCellAnchor>
  <xdr:oneCellAnchor>
    <xdr:from>
      <xdr:col>0</xdr:col>
      <xdr:colOff>595313</xdr:colOff>
      <xdr:row>59</xdr:row>
      <xdr:rowOff>47625</xdr:rowOff>
    </xdr:from>
    <xdr:ext cx="10263187" cy="843821"/>
    <xdr:sp macro="" textlink="">
      <xdr:nvSpPr>
        <xdr:cNvPr id="22" name="TextBox 21"/>
        <xdr:cNvSpPr txBox="1"/>
      </xdr:nvSpPr>
      <xdr:spPr>
        <a:xfrm>
          <a:off x="595313" y="17716500"/>
          <a:ext cx="10263187"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0" i="0" u="none" strike="noStrike">
              <a:solidFill>
                <a:schemeClr val="tx1"/>
              </a:solidFill>
              <a:effectLst/>
              <a:latin typeface="+mn-lt"/>
              <a:ea typeface="+mn-ea"/>
              <a:cs typeface="+mn-cs"/>
            </a:rPr>
            <a:t>Excelverktyget är indelat i en instruktionsflik (denna), en Resultatflik, en indataflik</a:t>
          </a:r>
          <a:r>
            <a:rPr lang="sv-SE" sz="1200" b="0" i="0" u="none" strike="noStrike" baseline="0">
              <a:solidFill>
                <a:schemeClr val="tx1"/>
              </a:solidFill>
              <a:effectLst/>
              <a:latin typeface="+mn-lt"/>
              <a:ea typeface="+mn-ea"/>
              <a:cs typeface="+mn-cs"/>
            </a:rPr>
            <a:t> </a:t>
          </a:r>
          <a:r>
            <a:rPr lang="sv-SE" sz="1200" b="0" i="0" u="none" strike="noStrike">
              <a:solidFill>
                <a:schemeClr val="tx1"/>
              </a:solidFill>
              <a:effectLst/>
              <a:latin typeface="+mn-lt"/>
              <a:ea typeface="+mn-ea"/>
              <a:cs typeface="+mn-cs"/>
            </a:rPr>
            <a:t>en beräkningsflik (se översikt nedan).</a:t>
          </a:r>
          <a:r>
            <a:rPr lang="sv-SE" sz="1200"/>
            <a:t> </a:t>
          </a:r>
          <a:r>
            <a:rPr lang="sv-SE" sz="1200" b="0" i="0" u="none" strike="noStrike">
              <a:solidFill>
                <a:schemeClr val="tx1"/>
              </a:solidFill>
              <a:effectLst/>
              <a:latin typeface="+mn-lt"/>
              <a:ea typeface="+mn-ea"/>
              <a:cs typeface="+mn-cs"/>
            </a:rPr>
            <a:t>Egna data och val görs antingen genom att skriva in egna värden eller välja olika alternativ ur flervalslistor. I de allra flesta fall är det möjligt att välja "okänd" om den efterfrågade informationen inte finns tillgänglig (användning</a:t>
          </a:r>
          <a:r>
            <a:rPr lang="sv-SE" sz="1200" b="0" i="0" u="none" strike="noStrike" baseline="0">
              <a:solidFill>
                <a:schemeClr val="tx1"/>
              </a:solidFill>
              <a:effectLst/>
              <a:latin typeface="+mn-lt"/>
              <a:ea typeface="+mn-ea"/>
              <a:cs typeface="+mn-cs"/>
            </a:rPr>
            <a:t> av egna värden är alltid att föredra framför att välja "okänd")</a:t>
          </a:r>
          <a:r>
            <a:rPr lang="sv-SE" sz="1200" b="0" i="0" u="none" strike="noStrike">
              <a:solidFill>
                <a:schemeClr val="tx1"/>
              </a:solidFill>
              <a:effectLst/>
              <a:latin typeface="+mn-lt"/>
              <a:ea typeface="+mn-ea"/>
              <a:cs typeface="+mn-cs"/>
            </a:rPr>
            <a:t>.</a:t>
          </a:r>
          <a:r>
            <a:rPr lang="sv-SE" sz="1200"/>
            <a:t>  Observera att spårbarheten genom produktionskedjan skall finnas vid behov av stickprov eller vid tillsyn!</a:t>
          </a:r>
        </a:p>
      </xdr:txBody>
    </xdr:sp>
    <xdr:clientData/>
  </xdr:oneCellAnchor>
  <xdr:oneCellAnchor>
    <xdr:from>
      <xdr:col>1</xdr:col>
      <xdr:colOff>23812</xdr:colOff>
      <xdr:row>160</xdr:row>
      <xdr:rowOff>130966</xdr:rowOff>
    </xdr:from>
    <xdr:ext cx="10001250" cy="1391791"/>
    <xdr:sp macro="" textlink="">
      <xdr:nvSpPr>
        <xdr:cNvPr id="23" name="TextBox 22"/>
        <xdr:cNvSpPr txBox="1"/>
      </xdr:nvSpPr>
      <xdr:spPr>
        <a:xfrm>
          <a:off x="631031" y="29420341"/>
          <a:ext cx="10001250" cy="1391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a:t>De</a:t>
          </a:r>
          <a:r>
            <a:rPr lang="sv-SE" sz="1200" baseline="0"/>
            <a:t> flesta biooljor lagras i något steg i transportkedjan. För att biooljor ska bibehålla sin kvalitet under lagringstiden samt för att biooljan ska ha rätt viskositet för att kunna pumpas etc. behöver lagringscisternerna värmas vilket resulterar i emissioner av växthusgaser. För lagring finns möjlighet att välja lagringstid i månader, typ av cistern samt uppvärmningskälla. Utomlands är det vanligt med fossil energi för uppvärmning medan det i Sverige kan förekomma t.ex. uppvärmning med fjärrvärme. Kombinationen av vald lagringstid, typ av cistern samt bränsle påverkar hur stora emissionerna blir. Om den rapporteringsskyldige inte har vetskap om efterfrågad data finns möjlighet att välja restriktiva standardvärden (genom att välja "okänt" eller motsvarande). Det är alltså fördelaktigt att ta reda på aktuella värden för bränslekedjan ifråga. </a:t>
          </a:r>
        </a:p>
        <a:p>
          <a:endParaRPr lang="sv-SE" sz="1100"/>
        </a:p>
      </xdr:txBody>
    </xdr:sp>
    <xdr:clientData/>
  </xdr:oneCellAnchor>
  <xdr:oneCellAnchor>
    <xdr:from>
      <xdr:col>1</xdr:col>
      <xdr:colOff>11905</xdr:colOff>
      <xdr:row>73</xdr:row>
      <xdr:rowOff>154780</xdr:rowOff>
    </xdr:from>
    <xdr:ext cx="10691814" cy="843821"/>
    <xdr:sp macro="" textlink="">
      <xdr:nvSpPr>
        <xdr:cNvPr id="24" name="TextBox 23"/>
        <xdr:cNvSpPr txBox="1"/>
      </xdr:nvSpPr>
      <xdr:spPr>
        <a:xfrm>
          <a:off x="619124" y="12918280"/>
          <a:ext cx="10691814"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a:t>Det är möjligt att anpassa modellen till egna produktionskedjor genom att kopiera och klistra in olika sektioner i modellen till nya flikar.  Att</a:t>
          </a:r>
          <a:r>
            <a:rPr lang="sv-SE" sz="1200" baseline="0"/>
            <a:t> modifiera modellen kräver dock viss kunskap i excel eftersom till exempel vissa cellhänvisningar och referenser då behöver kompletteras. Om modellen på något sätt ändras av användaren måste funktionen "Spåra ändringar" (eng. Track changes) aktiveras. Funktionen hittas vanligen under Review-&gt;Track changes-&gt;Highlight changes i menyn. Detta gör det möjligt för en granskare att om  nödvändigt följa vilka förändringar som gjorts.</a:t>
          </a:r>
          <a:endParaRPr lang="sv-SE" sz="1200"/>
        </a:p>
      </xdr:txBody>
    </xdr:sp>
    <xdr:clientData/>
  </xdr:oneCellAnchor>
  <xdr:oneCellAnchor>
    <xdr:from>
      <xdr:col>20</xdr:col>
      <xdr:colOff>511968</xdr:colOff>
      <xdr:row>49</xdr:row>
      <xdr:rowOff>95250</xdr:rowOff>
    </xdr:from>
    <xdr:ext cx="184731" cy="264560"/>
    <xdr:sp macro="" textlink="">
      <xdr:nvSpPr>
        <xdr:cNvPr id="25" name="TextBox 24"/>
        <xdr:cNvSpPr txBox="1"/>
      </xdr:nvSpPr>
      <xdr:spPr>
        <a:xfrm>
          <a:off x="12775406" y="96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oneCellAnchor>
    <xdr:from>
      <xdr:col>1</xdr:col>
      <xdr:colOff>11906</xdr:colOff>
      <xdr:row>65</xdr:row>
      <xdr:rowOff>130969</xdr:rowOff>
    </xdr:from>
    <xdr:ext cx="10251281" cy="1031693"/>
    <xdr:sp macro="" textlink="">
      <xdr:nvSpPr>
        <xdr:cNvPr id="26" name="TextBox 25"/>
        <xdr:cNvSpPr txBox="1"/>
      </xdr:nvSpPr>
      <xdr:spPr>
        <a:xfrm>
          <a:off x="619125" y="12894469"/>
          <a:ext cx="10251281" cy="1031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a:t>Verktyget består av ett antal flikar; Instruktion (denna flik), Resultat, Växthusgasberäkning och Indata. Indatafliken är endast till</a:t>
          </a:r>
          <a:r>
            <a:rPr lang="sv-SE" sz="1200" baseline="0"/>
            <a:t> för att det ska vara möjligt att se vilka bakrundsdata som används i beräkningarna. Det finns även dolda flikar som endast innehåller bakrgundsdata till beräkningarna, men är inget som användaren behöver ta hänsyn till. </a:t>
          </a:r>
          <a:r>
            <a:rPr lang="sv-SE" sz="1200"/>
            <a:t>Resultatfliken presenterar resultaten från fliken Växthusgasberäkning</a:t>
          </a:r>
          <a:r>
            <a:rPr lang="sv-SE" sz="1200" baseline="0"/>
            <a:t> och all användarinmatad information anges i fliken Växthusgasberäkning.  Vid arbete i verktyget kan vissa menyer upplevas små och svåra att se vid arbete på datorer med små datorskärmar. Använd därför vid behov funktionen för att zooma i excelarket (finns längst ner till höger i programfönstret).</a:t>
          </a:r>
          <a:endParaRPr lang="sv-SE" sz="12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25</xdr:row>
          <xdr:rowOff>9525</xdr:rowOff>
        </xdr:from>
        <xdr:to>
          <xdr:col>3</xdr:col>
          <xdr:colOff>561975</xdr:colOff>
          <xdr:row>25</xdr:row>
          <xdr:rowOff>400050</xdr:rowOff>
        </xdr:to>
        <xdr:sp macro="" textlink="">
          <xdr:nvSpPr>
            <xdr:cNvPr id="38913" name="Check Box 1" hidden="1">
              <a:extLst>
                <a:ext uri="{63B3BB69-23CF-44E3-9099-C40C66FF867C}">
                  <a14:compatExt spid="_x0000_s389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JA</a:t>
              </a:r>
            </a:p>
          </xdr:txBody>
        </xdr:sp>
        <xdr:clientData fLocksWithSheet="0"/>
      </xdr:twoCellAnchor>
    </mc:Choice>
    <mc:Fallback/>
  </mc:AlternateContent>
  <xdr:twoCellAnchor>
    <xdr:from>
      <xdr:col>7</xdr:col>
      <xdr:colOff>77677</xdr:colOff>
      <xdr:row>3</xdr:row>
      <xdr:rowOff>119626</xdr:rowOff>
    </xdr:from>
    <xdr:to>
      <xdr:col>9</xdr:col>
      <xdr:colOff>827314</xdr:colOff>
      <xdr:row>15</xdr:row>
      <xdr:rowOff>6804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158750</xdr:rowOff>
    </xdr:from>
    <xdr:to>
      <xdr:col>1</xdr:col>
      <xdr:colOff>1643063</xdr:colOff>
      <xdr:row>19</xdr:row>
      <xdr:rowOff>169070</xdr:rowOff>
    </xdr:to>
    <xdr:sp macro="" textlink="">
      <xdr:nvSpPr>
        <xdr:cNvPr id="6" name="Striped Right Arrow 5"/>
        <xdr:cNvSpPr/>
      </xdr:nvSpPr>
      <xdr:spPr>
        <a:xfrm rot="5400000">
          <a:off x="-580628" y="1787128"/>
          <a:ext cx="4010820" cy="1643063"/>
        </a:xfrm>
        <a:prstGeom prst="stripedRightArrow">
          <a:avLst>
            <a:gd name="adj1" fmla="val 51933"/>
            <a:gd name="adj2" fmla="val 50000"/>
          </a:avLst>
        </a:prstGeom>
        <a:solidFill>
          <a:schemeClr val="accent1">
            <a:alpha val="7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n-GB" sz="1400" b="1"/>
            <a:t>Fyll</a:t>
          </a:r>
          <a:r>
            <a:rPr lang="en-GB" sz="1400" b="1" baseline="0"/>
            <a:t> i uppgifter nedan</a:t>
          </a:r>
          <a:endParaRPr lang="en-GB" sz="1400" b="1"/>
        </a:p>
      </xdr:txBody>
    </xdr:sp>
    <xdr:clientData/>
  </xdr:twoCellAnchor>
  <xdr:twoCellAnchor>
    <xdr:from>
      <xdr:col>6</xdr:col>
      <xdr:colOff>460374</xdr:colOff>
      <xdr:row>2</xdr:row>
      <xdr:rowOff>165554</xdr:rowOff>
    </xdr:from>
    <xdr:to>
      <xdr:col>6</xdr:col>
      <xdr:colOff>848179</xdr:colOff>
      <xdr:row>17</xdr:row>
      <xdr:rowOff>70304</xdr:rowOff>
    </xdr:to>
    <xdr:sp macro="" textlink="">
      <xdr:nvSpPr>
        <xdr:cNvPr id="11" name="Right Brace 10"/>
        <xdr:cNvSpPr/>
      </xdr:nvSpPr>
      <xdr:spPr>
        <a:xfrm>
          <a:off x="7400017" y="750661"/>
          <a:ext cx="387805" cy="3864429"/>
        </a:xfrm>
        <a:prstGeom prst="rightBrace">
          <a:avLst>
            <a:gd name="adj1" fmla="val 8333"/>
            <a:gd name="adj2" fmla="val 484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6</xdr:col>
      <xdr:colOff>848179</xdr:colOff>
      <xdr:row>8</xdr:row>
      <xdr:rowOff>178876</xdr:rowOff>
    </xdr:from>
    <xdr:to>
      <xdr:col>7</xdr:col>
      <xdr:colOff>77677</xdr:colOff>
      <xdr:row>9</xdr:row>
      <xdr:rowOff>24631</xdr:rowOff>
    </xdr:to>
    <xdr:cxnSp macro="">
      <xdr:nvCxnSpPr>
        <xdr:cNvPr id="13" name="Straight Connector 12"/>
        <xdr:cNvCxnSpPr>
          <a:stCxn id="11" idx="1"/>
          <a:endCxn id="5" idx="1"/>
        </xdr:cNvCxnSpPr>
      </xdr:nvCxnSpPr>
      <xdr:spPr>
        <a:xfrm flipV="1">
          <a:off x="7787822" y="2478483"/>
          <a:ext cx="903176" cy="1451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23294</xdr:colOff>
      <xdr:row>30</xdr:row>
      <xdr:rowOff>180811</xdr:rowOff>
    </xdr:from>
    <xdr:to>
      <xdr:col>5</xdr:col>
      <xdr:colOff>598717</xdr:colOff>
      <xdr:row>32</xdr:row>
      <xdr:rowOff>176893</xdr:rowOff>
    </xdr:to>
    <xdr:sp macro="" textlink="">
      <xdr:nvSpPr>
        <xdr:cNvPr id="7" name="Right Brace 6"/>
        <xdr:cNvSpPr/>
      </xdr:nvSpPr>
      <xdr:spPr>
        <a:xfrm rot="16200000">
          <a:off x="2245179" y="4272640"/>
          <a:ext cx="377082" cy="4820852"/>
        </a:xfrm>
        <a:prstGeom prst="rightBrace">
          <a:avLst>
            <a:gd name="adj1" fmla="val 4081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6</xdr:col>
      <xdr:colOff>81645</xdr:colOff>
      <xdr:row>31</xdr:row>
      <xdr:rowOff>36284</xdr:rowOff>
    </xdr:from>
    <xdr:to>
      <xdr:col>9</xdr:col>
      <xdr:colOff>1746253</xdr:colOff>
      <xdr:row>32</xdr:row>
      <xdr:rowOff>174625</xdr:rowOff>
    </xdr:to>
    <xdr:sp macro="" textlink="">
      <xdr:nvSpPr>
        <xdr:cNvPr id="21" name="Right Brace 20"/>
        <xdr:cNvSpPr/>
      </xdr:nvSpPr>
      <xdr:spPr>
        <a:xfrm rot="16200000">
          <a:off x="7647216" y="4646838"/>
          <a:ext cx="328841" cy="5395233"/>
        </a:xfrm>
        <a:prstGeom prst="rightBrace">
          <a:avLst>
            <a:gd name="adj1" fmla="val 4081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10</xdr:col>
      <xdr:colOff>40822</xdr:colOff>
      <xdr:row>30</xdr:row>
      <xdr:rowOff>176892</xdr:rowOff>
    </xdr:from>
    <xdr:to>
      <xdr:col>17</xdr:col>
      <xdr:colOff>13608</xdr:colOff>
      <xdr:row>32</xdr:row>
      <xdr:rowOff>172974</xdr:rowOff>
    </xdr:to>
    <xdr:sp macro="" textlink="">
      <xdr:nvSpPr>
        <xdr:cNvPr id="22" name="Right Brace 21"/>
        <xdr:cNvSpPr/>
      </xdr:nvSpPr>
      <xdr:spPr>
        <a:xfrm rot="16200000">
          <a:off x="14105763" y="3039237"/>
          <a:ext cx="377082" cy="7715250"/>
        </a:xfrm>
        <a:prstGeom prst="rightBrace">
          <a:avLst>
            <a:gd name="adj1" fmla="val 4081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oneCellAnchor>
    <xdr:from>
      <xdr:col>1</xdr:col>
      <xdr:colOff>2460624</xdr:colOff>
      <xdr:row>29</xdr:row>
      <xdr:rowOff>27214</xdr:rowOff>
    </xdr:from>
    <xdr:ext cx="1211037" cy="264560"/>
    <xdr:sp macro="" textlink="">
      <xdr:nvSpPr>
        <xdr:cNvPr id="17" name="TextBox 16"/>
        <xdr:cNvSpPr txBox="1"/>
      </xdr:nvSpPr>
      <xdr:spPr>
        <a:xfrm>
          <a:off x="3063874" y="7742464"/>
          <a:ext cx="121103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aseline="0"/>
            <a:t>Inmatning av data</a:t>
          </a:r>
        </a:p>
      </xdr:txBody>
    </xdr:sp>
    <xdr:clientData/>
  </xdr:oneCellAnchor>
  <xdr:oneCellAnchor>
    <xdr:from>
      <xdr:col>7</xdr:col>
      <xdr:colOff>737054</xdr:colOff>
      <xdr:row>29</xdr:row>
      <xdr:rowOff>68035</xdr:rowOff>
    </xdr:from>
    <xdr:ext cx="1197427" cy="264560"/>
    <xdr:sp macro="" textlink="">
      <xdr:nvSpPr>
        <xdr:cNvPr id="25" name="TextBox 24"/>
        <xdr:cNvSpPr txBox="1"/>
      </xdr:nvSpPr>
      <xdr:spPr>
        <a:xfrm>
          <a:off x="9055554" y="7783285"/>
          <a:ext cx="11974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Sammanfattning</a:t>
          </a:r>
        </a:p>
      </xdr:txBody>
    </xdr:sp>
    <xdr:clientData/>
  </xdr:oneCellAnchor>
  <xdr:oneCellAnchor>
    <xdr:from>
      <xdr:col>12</xdr:col>
      <xdr:colOff>2109108</xdr:colOff>
      <xdr:row>29</xdr:row>
      <xdr:rowOff>40821</xdr:rowOff>
    </xdr:from>
    <xdr:ext cx="693965" cy="264560"/>
    <xdr:sp macro="" textlink="">
      <xdr:nvSpPr>
        <xdr:cNvPr id="27" name="TextBox 26"/>
        <xdr:cNvSpPr txBox="1"/>
      </xdr:nvSpPr>
      <xdr:spPr>
        <a:xfrm>
          <a:off x="14233072" y="6381750"/>
          <a:ext cx="69396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Utdata</a:t>
          </a:r>
        </a:p>
      </xdr:txBody>
    </xdr:sp>
    <xdr:clientData/>
  </xdr:oneCellAnchor>
  <xdr:twoCellAnchor>
    <xdr:from>
      <xdr:col>12</xdr:col>
      <xdr:colOff>63500</xdr:colOff>
      <xdr:row>9</xdr:row>
      <xdr:rowOff>95250</xdr:rowOff>
    </xdr:from>
    <xdr:to>
      <xdr:col>15</xdr:col>
      <xdr:colOff>317500</xdr:colOff>
      <xdr:row>12</xdr:row>
      <xdr:rowOff>15875</xdr:rowOff>
    </xdr:to>
    <xdr:sp macro="" textlink="">
      <xdr:nvSpPr>
        <xdr:cNvPr id="24" name="Rectangle 23"/>
        <xdr:cNvSpPr/>
      </xdr:nvSpPr>
      <xdr:spPr>
        <a:xfrm>
          <a:off x="14652625" y="2714625"/>
          <a:ext cx="5794375" cy="841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399142</xdr:colOff>
      <xdr:row>25</xdr:row>
      <xdr:rowOff>163289</xdr:rowOff>
    </xdr:from>
    <xdr:to>
      <xdr:col>9</xdr:col>
      <xdr:colOff>1664606</xdr:colOff>
      <xdr:row>28</xdr:row>
      <xdr:rowOff>108860</xdr:rowOff>
    </xdr:to>
    <xdr:sp macro="" textlink="">
      <xdr:nvSpPr>
        <xdr:cNvPr id="26" name="Rectangular Callout 25"/>
        <xdr:cNvSpPr/>
      </xdr:nvSpPr>
      <xdr:spPr>
        <a:xfrm>
          <a:off x="6740071" y="7252610"/>
          <a:ext cx="6232071" cy="816429"/>
        </a:xfrm>
        <a:prstGeom prst="wedgeRectCallout">
          <a:avLst>
            <a:gd name="adj1" fmla="val -84169"/>
            <a:gd name="adj2" fmla="val -4410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100" b="1">
              <a:solidFill>
                <a:sysClr val="windowText" lastClr="000000"/>
              </a:solidFill>
            </a:rPr>
            <a:t>OBS!</a:t>
          </a:r>
          <a:r>
            <a:rPr lang="sv-SE" sz="1100">
              <a:solidFill>
                <a:sysClr val="windowText" lastClr="000000"/>
              </a:solidFill>
            </a:rPr>
            <a:t> Om</a:t>
          </a:r>
          <a:r>
            <a:rPr lang="sv-SE" sz="1100" baseline="0">
              <a:solidFill>
                <a:sysClr val="windowText" lastClr="000000"/>
              </a:solidFill>
            </a:rPr>
            <a:t> biooljan är en restprodukt eller ej har stor inverkan på den totala utsläppsminskningen. Att biooljan i något steg i processen är en restprodukt innebär inte att slutprodukten definieras som en restprodukt. Mer information om vilka biooljor som klassas som restprodukter finns i STEMFS2011:2.</a:t>
          </a:r>
          <a:endParaRPr lang="sv-SE"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19</xdr:row>
      <xdr:rowOff>142874</xdr:rowOff>
    </xdr:from>
    <xdr:to>
      <xdr:col>5</xdr:col>
      <xdr:colOff>581025</xdr:colOff>
      <xdr:row>33</xdr:row>
      <xdr:rowOff>14286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6287</xdr:colOff>
      <xdr:row>15</xdr:row>
      <xdr:rowOff>88965</xdr:rowOff>
    </xdr:from>
    <xdr:to>
      <xdr:col>7</xdr:col>
      <xdr:colOff>9528</xdr:colOff>
      <xdr:row>16</xdr:row>
      <xdr:rowOff>168213</xdr:rowOff>
    </xdr:to>
    <xdr:sp macro="" textlink="">
      <xdr:nvSpPr>
        <xdr:cNvPr id="2" name="Right Brace 1"/>
        <xdr:cNvSpPr/>
      </xdr:nvSpPr>
      <xdr:spPr>
        <a:xfrm rot="5400000">
          <a:off x="5426109" y="1946243"/>
          <a:ext cx="269748" cy="2517841"/>
        </a:xfrm>
        <a:prstGeom prst="rightBrace">
          <a:avLst>
            <a:gd name="adj1" fmla="val 15395"/>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2</xdr:col>
      <xdr:colOff>1514475</xdr:colOff>
      <xdr:row>16</xdr:row>
      <xdr:rowOff>168213</xdr:rowOff>
    </xdr:from>
    <xdr:to>
      <xdr:col>6</xdr:col>
      <xdr:colOff>217458</xdr:colOff>
      <xdr:row>19</xdr:row>
      <xdr:rowOff>142874</xdr:rowOff>
    </xdr:to>
    <xdr:cxnSp macro="">
      <xdr:nvCxnSpPr>
        <xdr:cNvPr id="5" name="Straight Connector 4"/>
        <xdr:cNvCxnSpPr>
          <a:stCxn id="2" idx="1"/>
          <a:endCxn id="3" idx="0"/>
        </xdr:cNvCxnSpPr>
      </xdr:nvCxnSpPr>
      <xdr:spPr>
        <a:xfrm flipH="1">
          <a:off x="3162300" y="3673413"/>
          <a:ext cx="3132108" cy="5842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561975</xdr:colOff>
          <xdr:row>25</xdr:row>
          <xdr:rowOff>28575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JA</a:t>
              </a:r>
            </a:p>
          </xdr:txBody>
        </xdr:sp>
        <xdr:clientData fLocksWithSheet="0"/>
      </xdr:twoCellAnchor>
    </mc:Choice>
    <mc:Fallback/>
  </mc:AlternateContent>
  <xdr:twoCellAnchor editAs="oneCell">
    <xdr:from>
      <xdr:col>2</xdr:col>
      <xdr:colOff>642937</xdr:colOff>
      <xdr:row>4</xdr:row>
      <xdr:rowOff>169068</xdr:rowOff>
    </xdr:from>
    <xdr:to>
      <xdr:col>9</xdr:col>
      <xdr:colOff>1004887</xdr:colOff>
      <xdr:row>18</xdr:row>
      <xdr:rowOff>188118</xdr:rowOff>
    </xdr:to>
    <xdr:pic>
      <xdr:nvPicPr>
        <xdr:cNvPr id="34" name="Picture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5062" y="1454943"/>
          <a:ext cx="8910638" cy="3007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6</xdr:row>
      <xdr:rowOff>0</xdr:rowOff>
    </xdr:from>
    <xdr:to>
      <xdr:col>12</xdr:col>
      <xdr:colOff>76200</xdr:colOff>
      <xdr:row>27</xdr:row>
      <xdr:rowOff>171450</xdr:rowOff>
    </xdr:to>
    <xdr:sp macro="" textlink="">
      <xdr:nvSpPr>
        <xdr:cNvPr id="2" name="TextBox 1"/>
        <xdr:cNvSpPr txBox="1"/>
      </xdr:nvSpPr>
      <xdr:spPr>
        <a:xfrm>
          <a:off x="7486650" y="1409700"/>
          <a:ext cx="3086100" cy="218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P</a:t>
          </a:r>
          <a:r>
            <a:rPr lang="sv-SE" sz="1100" baseline="0"/>
            <a:t>=  U *( Tolja-Tute)*A [W]</a:t>
          </a:r>
        </a:p>
        <a:p>
          <a:r>
            <a:rPr lang="sv-SE" sz="1100" baseline="0"/>
            <a:t>Etot = P*Tspan</a:t>
          </a:r>
        </a:p>
        <a:p>
          <a:r>
            <a:rPr lang="sv-SE" sz="1100" baseline="0"/>
            <a:t>Emj = Etot/Eolja</a:t>
          </a:r>
        </a:p>
        <a:p>
          <a:endParaRPr lang="sv-SE" sz="1100" baseline="0"/>
        </a:p>
        <a:p>
          <a:r>
            <a:rPr lang="sv-SE" sz="1100"/>
            <a:t>Storlekar</a:t>
          </a:r>
        </a:p>
        <a:p>
          <a:r>
            <a:rPr lang="en-GB" sz="1100">
              <a:solidFill>
                <a:schemeClr val="dk1"/>
              </a:solidFill>
              <a:effectLst/>
              <a:latin typeface="+mn-lt"/>
              <a:ea typeface="+mn-ea"/>
              <a:cs typeface="+mn-cs"/>
            </a:rPr>
            <a:t>Finbio: 6926 m3, 9103 m3</a:t>
          </a:r>
        </a:p>
        <a:p>
          <a:r>
            <a:rPr lang="en-GB" sz="1100">
              <a:solidFill>
                <a:schemeClr val="dk1"/>
              </a:solidFill>
              <a:effectLst/>
              <a:latin typeface="+mn-lt"/>
              <a:ea typeface="+mn-ea"/>
              <a:cs typeface="+mn-cs"/>
            </a:rPr>
            <a:t>MFA: 9979 m3, 10008 m3, 16499 m3, 9788m3, 8170 m3.</a:t>
          </a:r>
        </a:p>
        <a:p>
          <a:r>
            <a:rPr lang="en-GB" sz="1100">
              <a:solidFill>
                <a:schemeClr val="dk1"/>
              </a:solidFill>
              <a:effectLst/>
              <a:latin typeface="+mn-lt"/>
              <a:ea typeface="+mn-ea"/>
              <a:cs typeface="+mn-cs"/>
            </a:rPr>
            <a:t>TOP: 5754 m3, 30178 m3, 11419 m3, 2065 m3.</a:t>
          </a:r>
        </a:p>
        <a:p>
          <a:r>
            <a:rPr lang="en-GB" sz="1100">
              <a:solidFill>
                <a:schemeClr val="dk1"/>
              </a:solidFill>
              <a:effectLst/>
              <a:latin typeface="+mn-lt"/>
              <a:ea typeface="+mn-ea"/>
              <a:cs typeface="+mn-cs"/>
            </a:rPr>
            <a:t>Hammarby: 6100m3, 3000 m3, 3000 m3</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Liten; 2000</a:t>
          </a:r>
        </a:p>
        <a:p>
          <a:r>
            <a:rPr lang="en-GB" sz="1100">
              <a:solidFill>
                <a:schemeClr val="dk1"/>
              </a:solidFill>
              <a:effectLst/>
              <a:latin typeface="+mn-lt"/>
              <a:ea typeface="+mn-ea"/>
              <a:cs typeface="+mn-cs"/>
            </a:rPr>
            <a:t>Stor;</a:t>
          </a:r>
          <a:r>
            <a:rPr lang="en-GB" sz="1100" baseline="0">
              <a:solidFill>
                <a:schemeClr val="dk1"/>
              </a:solidFill>
              <a:effectLst/>
              <a:latin typeface="+mn-lt"/>
              <a:ea typeface="+mn-ea"/>
              <a:cs typeface="+mn-cs"/>
            </a:rPr>
            <a:t> 30 000</a:t>
          </a:r>
        </a:p>
        <a:p>
          <a:r>
            <a:rPr lang="en-GB" sz="1100" baseline="0">
              <a:solidFill>
                <a:schemeClr val="dk1"/>
              </a:solidFill>
              <a:effectLst/>
              <a:latin typeface="+mn-lt"/>
              <a:ea typeface="+mn-ea"/>
              <a:cs typeface="+mn-cs"/>
            </a:rPr>
            <a:t>Medel;9000</a:t>
          </a:r>
          <a:endParaRPr lang="sv-SE" sz="1100"/>
        </a:p>
      </xdr:txBody>
    </xdr:sp>
    <xdr:clientData/>
  </xdr:twoCellAnchor>
  <xdr:twoCellAnchor>
    <xdr:from>
      <xdr:col>1</xdr:col>
      <xdr:colOff>1238251</xdr:colOff>
      <xdr:row>42</xdr:row>
      <xdr:rowOff>80960</xdr:rowOff>
    </xdr:from>
    <xdr:to>
      <xdr:col>8</xdr:col>
      <xdr:colOff>409576</xdr:colOff>
      <xdr:row>67</xdr:row>
      <xdr:rowOff>119063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495300</xdr:colOff>
      <xdr:row>44</xdr:row>
      <xdr:rowOff>85725</xdr:rowOff>
    </xdr:from>
    <xdr:to>
      <xdr:col>19</xdr:col>
      <xdr:colOff>428625</xdr:colOff>
      <xdr:row>66</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209550</xdr:colOff>
      <xdr:row>0</xdr:row>
      <xdr:rowOff>24907</xdr:rowOff>
    </xdr:from>
    <xdr:to>
      <xdr:col>16</xdr:col>
      <xdr:colOff>409575</xdr:colOff>
      <xdr:row>23</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7150" y="24907"/>
          <a:ext cx="6296025" cy="4461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200026</xdr:colOff>
      <xdr:row>20</xdr:row>
      <xdr:rowOff>57918</xdr:rowOff>
    </xdr:from>
    <xdr:to>
      <xdr:col>16</xdr:col>
      <xdr:colOff>428626</xdr:colOff>
      <xdr:row>36</xdr:row>
      <xdr:rowOff>114300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6" y="4439418"/>
          <a:ext cx="6324600" cy="310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onas0658/Desktop/Copy%20of%20Biooljemodell%20STEM%20v4%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nergimyndigheten.se/8000_Projekt/203846_STEM_EF_biogas_biooljor_nordisk%20elmix/Ber&#228;kningsexempel/Biooljor/Biooljemodell%20FORTUM%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
      <sheetName val="Övrigt"/>
      <sheetName val="Indata Fjärrvärme"/>
      <sheetName val="Resultat"/>
      <sheetName val="Typmodell att kopiera upp"/>
      <sheetName val="Indata old"/>
      <sheetName val="Beräkning lagring"/>
      <sheetName val="Typmodell"/>
      <sheetName val="Tabelldata"/>
      <sheetName val="Indata"/>
      <sheetName val="Indata-Transportbränslen"/>
      <sheetName val="Biooljekedjan info"/>
      <sheetName val="Överskottsel"/>
    </sheetNames>
    <sheetDataSet>
      <sheetData sheetId="0"/>
      <sheetData sheetId="1" refreshError="1"/>
      <sheetData sheetId="2" refreshError="1"/>
      <sheetData sheetId="3" refreshError="1"/>
      <sheetData sheetId="4">
        <row r="17">
          <cell r="E17">
            <v>59.022330067567751</v>
          </cell>
        </row>
      </sheetData>
      <sheetData sheetId="5" refreshError="1"/>
      <sheetData sheetId="6" refreshError="1"/>
      <sheetData sheetId="7" refreshError="1"/>
      <sheetData sheetId="8" refreshError="1"/>
      <sheetData sheetId="9">
        <row r="44">
          <cell r="B44">
            <v>1</v>
          </cell>
        </row>
        <row r="45">
          <cell r="B45">
            <v>23</v>
          </cell>
        </row>
        <row r="46">
          <cell r="B46">
            <v>296</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
      <sheetName val="Indata Fjärrvärme"/>
      <sheetName val="Resultat"/>
      <sheetName val="Typmodell att kopiera upp"/>
      <sheetName val="Beräkning lagring"/>
      <sheetName val="Typmodell"/>
      <sheetName val="Tabelldata"/>
      <sheetName val="Indata"/>
      <sheetName val="Indata-Transportbränslen"/>
      <sheetName val="Biooljekedjan info"/>
      <sheetName val="TOP (USA)"/>
      <sheetName val="TOP (Sverige)"/>
      <sheetName val="MFA (Asien)"/>
      <sheetName val="MFA (Brasilien)"/>
    </sheetNames>
    <sheetDataSet>
      <sheetData sheetId="0"/>
      <sheetData sheetId="1"/>
      <sheetData sheetId="2"/>
      <sheetData sheetId="3"/>
      <sheetData sheetId="4">
        <row r="21">
          <cell r="C21">
            <v>2010.6192982974676</v>
          </cell>
        </row>
      </sheetData>
      <sheetData sheetId="5"/>
      <sheetData sheetId="6"/>
      <sheetData sheetId="7">
        <row r="36">
          <cell r="B36" t="str">
            <v>Fordon</v>
          </cell>
        </row>
        <row r="37">
          <cell r="B37" t="str">
            <v>Tractor+´city trailer´ NTM 6</v>
          </cell>
        </row>
        <row r="38">
          <cell r="B38" t="str">
            <v>tractor+mega trailer NTM 9</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ebbshop.cm.se/System/DownloadResource.ashx?p=Energimyndigheten&amp;rl=default:/Resources/Permanent/Static/5ccf621357e546cdb295471142be72c8/STEMFS2011_1.pdf" TargetMode="External"/><Relationship Id="rId7" Type="http://schemas.openxmlformats.org/officeDocument/2006/relationships/printerSettings" Target="../printerSettings/printerSettings2.bin"/><Relationship Id="rId2" Type="http://schemas.openxmlformats.org/officeDocument/2006/relationships/hyperlink" Target="http://213.115.22.116/System/DownloadResource.ashx?p=Energimyndigheten&amp;rl=default:/Resources/Permanent/Static/e03f44be21c74a64a36b88ba8a410df0/ER2011%2014W.pdf" TargetMode="External"/><Relationship Id="rId1" Type="http://schemas.openxmlformats.org/officeDocument/2006/relationships/hyperlink" Target="http://webbshop.cm.se/System/DownloadResource.ashx?p=Energimyndigheten&amp;rl=default:/Resources/Permanent/Static/5ccf621357e546cdb295471142be72c8/STEMFS2011_1.pdf" TargetMode="External"/><Relationship Id="rId6" Type="http://schemas.openxmlformats.org/officeDocument/2006/relationships/hyperlink" Target="http://energimyndigheten.se/Foretag/hallbarhetskriterier/Forfattningar/Vagledning/" TargetMode="External"/><Relationship Id="rId5" Type="http://schemas.openxmlformats.org/officeDocument/2006/relationships/hyperlink" Target="http://webbshop.cm.se/System/DownloadResource.ashx?p=Energimyndigheten&amp;rl=default:/Resources/Permanent/Static/035eeac02fdb4084b2fcb16fe7221b58/STEMFS2011_2.pdf" TargetMode="External"/><Relationship Id="rId4" Type="http://schemas.openxmlformats.org/officeDocument/2006/relationships/hyperlink" Target="http://webbshop.cm.se/System/DownloadResource.ashx?p=Energimyndigheten&amp;rl=default:/Resources/Permanent/Static/5ccf621357e546cdb295471142be72c8/STEMFS2011_1.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3:T102"/>
  <sheetViews>
    <sheetView topLeftCell="A40" workbookViewId="0">
      <selection activeCell="L64" sqref="L64"/>
    </sheetView>
  </sheetViews>
  <sheetFormatPr defaultRowHeight="15" x14ac:dyDescent="0.25"/>
  <cols>
    <col min="2" max="2" width="30.140625" customWidth="1"/>
    <col min="3" max="3" width="10.85546875" customWidth="1"/>
    <col min="4" max="4" width="26" customWidth="1"/>
    <col min="5" max="5" width="29.5703125" customWidth="1"/>
    <col min="6" max="6" width="31.7109375" customWidth="1"/>
    <col min="7" max="7" width="20.5703125" customWidth="1"/>
    <col min="8" max="8" width="16" customWidth="1"/>
    <col min="9" max="9" width="12.42578125" customWidth="1"/>
    <col min="11" max="11" width="13.42578125" customWidth="1"/>
  </cols>
  <sheetData>
    <row r="3" spans="2:20" x14ac:dyDescent="0.25">
      <c r="B3" s="11" t="s">
        <v>60</v>
      </c>
      <c r="C3" s="12" t="s">
        <v>61</v>
      </c>
      <c r="D3" s="13"/>
      <c r="E3" s="14"/>
      <c r="F3" s="14"/>
      <c r="G3" s="14"/>
      <c r="H3" s="14"/>
      <c r="I3" s="14"/>
      <c r="J3" s="14"/>
      <c r="K3" s="14"/>
      <c r="L3" s="14"/>
      <c r="M3" s="14"/>
      <c r="N3" s="14"/>
      <c r="O3" s="14"/>
    </row>
    <row r="4" spans="2:20" x14ac:dyDescent="0.25">
      <c r="B4" s="11" t="s">
        <v>62</v>
      </c>
      <c r="C4" s="14" t="s">
        <v>63</v>
      </c>
      <c r="D4" s="310" t="s">
        <v>64</v>
      </c>
      <c r="E4" s="311"/>
      <c r="F4" s="311"/>
      <c r="G4" s="14"/>
      <c r="H4" s="312" t="s">
        <v>65</v>
      </c>
      <c r="I4" s="312"/>
      <c r="J4" s="11"/>
      <c r="K4" s="14" t="s">
        <v>66</v>
      </c>
      <c r="L4" s="14"/>
      <c r="M4" s="14"/>
      <c r="N4" s="14"/>
      <c r="O4" s="14"/>
    </row>
    <row r="5" spans="2:20" x14ac:dyDescent="0.25">
      <c r="B5" s="11" t="s">
        <v>67</v>
      </c>
      <c r="C5" s="15"/>
      <c r="D5" s="16"/>
      <c r="E5" s="17"/>
      <c r="F5" s="17"/>
      <c r="G5" s="15"/>
      <c r="H5" s="15"/>
      <c r="I5" s="14"/>
      <c r="J5" s="15"/>
      <c r="K5" s="15"/>
      <c r="L5" s="15"/>
      <c r="M5" s="15"/>
      <c r="N5" s="15"/>
      <c r="O5" s="15"/>
    </row>
    <row r="6" spans="2:20" x14ac:dyDescent="0.25">
      <c r="B6" s="18" t="s">
        <v>68</v>
      </c>
      <c r="C6" s="14"/>
      <c r="D6" s="19" t="s">
        <v>69</v>
      </c>
      <c r="E6" s="19" t="s">
        <v>70</v>
      </c>
      <c r="F6" s="20"/>
      <c r="G6" s="15"/>
      <c r="H6" s="21" t="s">
        <v>69</v>
      </c>
      <c r="I6" s="22" t="s">
        <v>70</v>
      </c>
      <c r="J6" s="14"/>
      <c r="K6" s="21" t="s">
        <v>69</v>
      </c>
      <c r="L6" s="22" t="s">
        <v>70</v>
      </c>
      <c r="M6" s="14"/>
      <c r="N6" s="14"/>
      <c r="O6" s="14"/>
      <c r="Q6" s="58" t="s">
        <v>105</v>
      </c>
      <c r="R6" s="58"/>
      <c r="S6" s="58"/>
      <c r="T6" s="58"/>
    </row>
    <row r="7" spans="2:20" x14ac:dyDescent="0.25">
      <c r="B7" s="23" t="s">
        <v>71</v>
      </c>
      <c r="C7" s="24"/>
      <c r="D7" s="25">
        <v>1.0900000000000001</v>
      </c>
      <c r="E7" s="26"/>
      <c r="F7" s="27"/>
      <c r="G7" s="15"/>
      <c r="H7" s="28">
        <v>1.1599999999999999</v>
      </c>
      <c r="I7" s="22"/>
      <c r="J7" s="15"/>
      <c r="K7" s="29">
        <v>1.1008341073987062</v>
      </c>
      <c r="L7" s="14"/>
      <c r="M7" s="14"/>
      <c r="N7" s="14"/>
      <c r="O7" s="14"/>
      <c r="Q7" s="58" t="s">
        <v>106</v>
      </c>
      <c r="R7" s="58" t="s">
        <v>107</v>
      </c>
      <c r="S7" s="58" t="s">
        <v>108</v>
      </c>
      <c r="T7" s="58"/>
    </row>
    <row r="8" spans="2:20" x14ac:dyDescent="0.25">
      <c r="B8" s="23" t="s">
        <v>72</v>
      </c>
      <c r="C8" s="24"/>
      <c r="D8" s="30">
        <v>1.0900000000000001</v>
      </c>
      <c r="E8" s="26"/>
      <c r="F8" s="27"/>
      <c r="G8" s="15"/>
      <c r="H8" s="28">
        <v>1.1599999999999999</v>
      </c>
      <c r="I8" s="21"/>
      <c r="J8" s="15"/>
      <c r="K8" s="31">
        <v>1.1008341073987062</v>
      </c>
      <c r="L8" s="32"/>
      <c r="M8" s="15"/>
      <c r="N8" s="15"/>
      <c r="O8" s="15"/>
      <c r="Q8" s="59">
        <f>D24+E24+(D26+E26*23)+(D27+E27*296)</f>
        <v>86.498730830053105</v>
      </c>
      <c r="R8" s="59">
        <f>H24+I24+(H26+I26*23)+(H27+I27*296)</f>
        <v>82.061612300358547</v>
      </c>
      <c r="S8" s="59">
        <f>K24+L24+(K26+L26*23)+(K27*296)</f>
        <v>71.515311125465558</v>
      </c>
      <c r="T8" s="58"/>
    </row>
    <row r="9" spans="2:20" x14ac:dyDescent="0.25">
      <c r="B9" s="23" t="s">
        <v>73</v>
      </c>
      <c r="C9" s="15"/>
      <c r="D9" s="16">
        <v>0</v>
      </c>
      <c r="E9" s="17"/>
      <c r="F9" s="17"/>
      <c r="G9" s="15"/>
      <c r="H9" s="21">
        <v>0</v>
      </c>
      <c r="I9" s="21"/>
      <c r="J9" s="15"/>
      <c r="K9" s="31">
        <v>0</v>
      </c>
      <c r="L9" s="33"/>
      <c r="M9" s="15"/>
      <c r="N9" s="15"/>
      <c r="O9" s="15"/>
      <c r="Q9" s="58"/>
      <c r="R9" s="58"/>
      <c r="S9" s="58"/>
      <c r="T9" s="58"/>
    </row>
    <row r="10" spans="2:20" x14ac:dyDescent="0.25">
      <c r="B10" s="18" t="s">
        <v>74</v>
      </c>
      <c r="C10" s="15"/>
      <c r="D10" s="16"/>
      <c r="E10" s="17"/>
      <c r="F10" s="17"/>
      <c r="G10" s="15"/>
      <c r="H10" s="21"/>
      <c r="I10" s="21"/>
      <c r="J10" s="15"/>
      <c r="K10" s="31"/>
      <c r="L10" s="32"/>
      <c r="M10" s="15"/>
      <c r="N10" s="15"/>
      <c r="O10" s="15"/>
      <c r="Q10" s="2"/>
    </row>
    <row r="11" spans="2:20" x14ac:dyDescent="0.25">
      <c r="B11" s="23" t="s">
        <v>75</v>
      </c>
      <c r="C11" s="24" t="s">
        <v>8</v>
      </c>
      <c r="D11" s="34">
        <v>1.03</v>
      </c>
      <c r="E11" s="26"/>
      <c r="F11" s="27"/>
      <c r="G11" s="15"/>
      <c r="H11" s="35">
        <v>1.0962747704820954</v>
      </c>
      <c r="I11" s="36"/>
      <c r="J11" s="15" t="s">
        <v>76</v>
      </c>
      <c r="K11" s="31">
        <v>4.1105449788786897E-3</v>
      </c>
      <c r="L11" s="32"/>
      <c r="M11" s="15"/>
      <c r="N11" s="15"/>
      <c r="O11" s="15"/>
      <c r="Q11" s="2"/>
    </row>
    <row r="12" spans="2:20" x14ac:dyDescent="0.25">
      <c r="B12" s="23" t="s">
        <v>77</v>
      </c>
      <c r="C12" s="15" t="s">
        <v>8</v>
      </c>
      <c r="D12" s="37">
        <v>0.06</v>
      </c>
      <c r="E12" s="17"/>
      <c r="F12" s="17"/>
      <c r="G12" s="15"/>
      <c r="H12" s="36">
        <v>0.06</v>
      </c>
      <c r="I12" s="36"/>
      <c r="J12" s="38"/>
      <c r="K12" s="31">
        <v>1.0967235624198275</v>
      </c>
      <c r="L12" s="32"/>
      <c r="M12" s="15"/>
      <c r="N12" s="15"/>
      <c r="O12" s="15"/>
      <c r="Q12" s="2"/>
    </row>
    <row r="13" spans="2:20" x14ac:dyDescent="0.25">
      <c r="B13" s="23" t="s">
        <v>78</v>
      </c>
      <c r="C13" s="15" t="s">
        <v>8</v>
      </c>
      <c r="D13" s="37">
        <v>2.6214972901980587E-3</v>
      </c>
      <c r="E13" s="17"/>
      <c r="F13" s="17"/>
      <c r="G13" s="15"/>
      <c r="H13" s="36">
        <v>2.9902729885157263E-3</v>
      </c>
      <c r="I13" s="36"/>
      <c r="J13" s="15"/>
      <c r="K13" s="24"/>
      <c r="L13" s="24"/>
      <c r="M13" s="38"/>
      <c r="N13" s="38"/>
      <c r="O13" s="38"/>
      <c r="Q13" s="2"/>
    </row>
    <row r="14" spans="2:20" x14ac:dyDescent="0.25">
      <c r="B14" s="23" t="s">
        <v>79</v>
      </c>
      <c r="C14" s="15" t="s">
        <v>8</v>
      </c>
      <c r="D14" s="37">
        <v>9.558597286691543E-4</v>
      </c>
      <c r="E14" s="17"/>
      <c r="F14" s="17"/>
      <c r="G14" s="15"/>
      <c r="H14" s="36">
        <v>9.558597286691543E-4</v>
      </c>
      <c r="I14" s="36"/>
      <c r="J14" s="15"/>
      <c r="K14" s="15"/>
      <c r="L14" s="24"/>
      <c r="M14" s="38"/>
      <c r="N14" s="38"/>
      <c r="O14" s="38"/>
      <c r="Q14" s="2"/>
    </row>
    <row r="15" spans="2:20" x14ac:dyDescent="0.25">
      <c r="B15" s="23" t="s">
        <v>80</v>
      </c>
      <c r="C15" s="15" t="s">
        <v>8</v>
      </c>
      <c r="D15" s="37"/>
      <c r="E15" s="17"/>
      <c r="F15" s="17"/>
      <c r="G15" s="15"/>
      <c r="H15" s="36"/>
      <c r="I15" s="36"/>
      <c r="J15" s="15"/>
      <c r="K15" s="15"/>
      <c r="L15" s="24"/>
      <c r="M15" s="38"/>
      <c r="N15" s="38"/>
      <c r="O15" s="38"/>
      <c r="Q15" s="2"/>
    </row>
    <row r="16" spans="2:20" x14ac:dyDescent="0.25">
      <c r="B16" s="23" t="s">
        <v>81</v>
      </c>
      <c r="C16" s="15" t="s">
        <v>8</v>
      </c>
      <c r="D16" s="37"/>
      <c r="E16" s="17"/>
      <c r="F16" s="17"/>
      <c r="G16" s="15"/>
      <c r="H16" s="36"/>
      <c r="I16" s="36"/>
      <c r="J16" s="39"/>
      <c r="K16" s="40"/>
      <c r="L16" s="24"/>
      <c r="M16" s="38"/>
      <c r="N16" s="38"/>
      <c r="O16" s="38"/>
      <c r="Q16" s="2"/>
    </row>
    <row r="17" spans="2:17" x14ac:dyDescent="0.25">
      <c r="B17" s="18" t="s">
        <v>82</v>
      </c>
      <c r="C17" s="15"/>
      <c r="D17" s="37"/>
      <c r="E17" s="17"/>
      <c r="F17" s="17"/>
      <c r="G17" s="15"/>
      <c r="H17" s="36"/>
      <c r="I17" s="36"/>
      <c r="J17" s="18"/>
      <c r="K17" s="24"/>
      <c r="L17" s="24"/>
      <c r="M17" s="38"/>
      <c r="N17" s="38"/>
      <c r="O17" s="38"/>
      <c r="Q17" s="2"/>
    </row>
    <row r="18" spans="2:17" x14ac:dyDescent="0.25">
      <c r="B18" s="23" t="s">
        <v>83</v>
      </c>
      <c r="C18" s="15" t="s">
        <v>8</v>
      </c>
      <c r="D18" s="37"/>
      <c r="E18" s="17"/>
      <c r="F18" s="17"/>
      <c r="G18" s="15"/>
      <c r="H18" s="36"/>
      <c r="I18" s="36"/>
      <c r="J18" s="15"/>
      <c r="K18" s="15"/>
      <c r="L18" s="41"/>
      <c r="M18" s="38"/>
      <c r="N18" s="38"/>
      <c r="O18" s="38"/>
      <c r="Q18" s="2"/>
    </row>
    <row r="19" spans="2:17" x14ac:dyDescent="0.25">
      <c r="B19" s="23" t="s">
        <v>84</v>
      </c>
      <c r="C19" s="15" t="s">
        <v>8</v>
      </c>
      <c r="D19" s="37"/>
      <c r="E19" s="17"/>
      <c r="F19" s="17"/>
      <c r="G19" s="15"/>
      <c r="H19" s="36"/>
      <c r="I19" s="36"/>
      <c r="J19" s="24"/>
      <c r="K19" s="41"/>
      <c r="L19" s="41"/>
      <c r="M19" s="38"/>
      <c r="N19" s="38"/>
      <c r="O19" s="38"/>
      <c r="Q19" s="2"/>
    </row>
    <row r="20" spans="2:17" x14ac:dyDescent="0.25">
      <c r="B20" s="23" t="s">
        <v>85</v>
      </c>
      <c r="C20" s="15" t="s">
        <v>8</v>
      </c>
      <c r="D20" s="37"/>
      <c r="E20" s="17"/>
      <c r="F20" s="17"/>
      <c r="G20" s="15"/>
      <c r="H20" s="36"/>
      <c r="I20" s="36"/>
      <c r="J20" s="24"/>
      <c r="K20" s="41"/>
      <c r="L20" s="41"/>
      <c r="M20" s="38"/>
      <c r="N20" s="38"/>
      <c r="O20" s="38"/>
      <c r="Q20" s="2"/>
    </row>
    <row r="21" spans="2:17" x14ac:dyDescent="0.25">
      <c r="B21" s="23" t="s">
        <v>86</v>
      </c>
      <c r="C21" s="15"/>
      <c r="D21" s="37"/>
      <c r="E21" s="17"/>
      <c r="F21" s="17"/>
      <c r="G21" s="15"/>
      <c r="H21" s="36"/>
      <c r="I21" s="36"/>
      <c r="J21" s="24"/>
      <c r="K21" s="41"/>
      <c r="L21" s="41"/>
      <c r="M21" s="38"/>
      <c r="N21" s="38"/>
      <c r="O21" s="38"/>
      <c r="Q21" s="2"/>
    </row>
    <row r="22" spans="2:17" x14ac:dyDescent="0.25">
      <c r="B22" s="23" t="s">
        <v>87</v>
      </c>
      <c r="C22" s="15" t="s">
        <v>8</v>
      </c>
      <c r="D22" s="37"/>
      <c r="E22" s="17"/>
      <c r="F22" s="17"/>
      <c r="G22" s="15"/>
      <c r="H22" s="36"/>
      <c r="I22" s="36"/>
      <c r="J22" s="24"/>
      <c r="K22" s="41"/>
      <c r="L22" s="41"/>
      <c r="M22" s="38"/>
      <c r="N22" s="38"/>
      <c r="O22" s="38"/>
      <c r="Q22" s="2"/>
    </row>
    <row r="23" spans="2:17" x14ac:dyDescent="0.25">
      <c r="B23" s="18" t="s">
        <v>88</v>
      </c>
      <c r="C23" s="15"/>
      <c r="D23" s="37"/>
      <c r="E23" s="37"/>
      <c r="F23" s="17"/>
      <c r="G23" s="15"/>
      <c r="H23" s="36"/>
      <c r="I23" s="36"/>
      <c r="J23" s="24"/>
      <c r="K23" s="41"/>
      <c r="L23" s="41"/>
      <c r="M23" s="38"/>
      <c r="N23" s="38"/>
      <c r="O23" s="38"/>
      <c r="Q23" s="2"/>
    </row>
    <row r="24" spans="2:17" x14ac:dyDescent="0.25">
      <c r="B24" s="42" t="s">
        <v>89</v>
      </c>
      <c r="C24" s="40" t="s">
        <v>90</v>
      </c>
      <c r="D24" s="37">
        <v>6.6752910233908365</v>
      </c>
      <c r="E24" s="37">
        <v>78.673360293775858</v>
      </c>
      <c r="F24" s="43"/>
      <c r="G24" s="15"/>
      <c r="H24" s="36">
        <v>7.0164733166102433</v>
      </c>
      <c r="I24" s="36">
        <v>73.89</v>
      </c>
      <c r="J24" s="24"/>
      <c r="K24" s="44">
        <v>6.9670903566594129</v>
      </c>
      <c r="L24" s="44">
        <v>57</v>
      </c>
      <c r="M24" s="38"/>
      <c r="N24" s="38"/>
      <c r="O24" s="38"/>
      <c r="Q24" s="2"/>
    </row>
    <row r="25" spans="2:17" x14ac:dyDescent="0.25">
      <c r="B25" s="45" t="s">
        <v>91</v>
      </c>
      <c r="C25" s="40" t="s">
        <v>90</v>
      </c>
      <c r="D25" s="37">
        <v>0</v>
      </c>
      <c r="E25" s="37">
        <v>0</v>
      </c>
      <c r="F25" s="27"/>
      <c r="G25" s="15"/>
      <c r="H25" s="36">
        <v>0</v>
      </c>
      <c r="I25" s="36">
        <v>0</v>
      </c>
      <c r="J25" s="24"/>
      <c r="K25" s="44">
        <v>0</v>
      </c>
      <c r="L25" s="40">
        <v>0</v>
      </c>
      <c r="M25" s="38"/>
      <c r="N25" s="38"/>
      <c r="O25" s="38"/>
      <c r="Q25" s="2"/>
    </row>
    <row r="26" spans="2:17" x14ac:dyDescent="0.25">
      <c r="B26" s="23" t="s">
        <v>92</v>
      </c>
      <c r="C26" s="40" t="s">
        <v>90</v>
      </c>
      <c r="D26" s="37">
        <v>7.290189484897279E-2</v>
      </c>
      <c r="E26" s="37">
        <v>4.6483521591595783E-4</v>
      </c>
      <c r="F26" s="46"/>
      <c r="G26" s="15"/>
      <c r="H26" s="36">
        <v>7.7876801961408587E-2</v>
      </c>
      <c r="I26" s="36">
        <v>5.0000000000000001E-4</v>
      </c>
      <c r="J26" s="18"/>
      <c r="K26" s="41">
        <v>4.6089637703737439E-2</v>
      </c>
      <c r="L26" s="41">
        <v>0.28000000000000003</v>
      </c>
      <c r="M26" s="38"/>
      <c r="N26" s="38"/>
      <c r="O26" s="38"/>
      <c r="Q26" s="2"/>
    </row>
    <row r="27" spans="2:17" x14ac:dyDescent="0.25">
      <c r="B27" s="23" t="s">
        <v>93</v>
      </c>
      <c r="C27" s="40" t="s">
        <v>90</v>
      </c>
      <c r="D27" s="37">
        <v>1.5442276016108879E-4</v>
      </c>
      <c r="E27" s="37">
        <v>3.6024729233486729E-3</v>
      </c>
      <c r="F27" s="46"/>
      <c r="G27" s="15"/>
      <c r="H27" s="36">
        <v>1.6218178689523488E-4</v>
      </c>
      <c r="I27" s="36">
        <v>3.5999999999999999E-3</v>
      </c>
      <c r="J27" s="24"/>
      <c r="K27" s="44">
        <v>3.5882808483189326E-3</v>
      </c>
      <c r="L27" s="40"/>
      <c r="M27" s="38"/>
      <c r="N27" s="38"/>
      <c r="O27" s="38"/>
      <c r="Q27" s="2"/>
    </row>
    <row r="28" spans="2:17" x14ac:dyDescent="0.25">
      <c r="B28" s="23" t="s">
        <v>94</v>
      </c>
      <c r="C28" s="40" t="s">
        <v>90</v>
      </c>
      <c r="D28" s="37">
        <v>9.1411677666865324E-3</v>
      </c>
      <c r="E28" s="37">
        <v>0.12782968437688841</v>
      </c>
      <c r="F28" s="47"/>
      <c r="G28" s="15"/>
      <c r="H28" s="36">
        <v>9.6558282002466612E-3</v>
      </c>
      <c r="I28" s="36">
        <v>0.12601672585634097</v>
      </c>
      <c r="J28" s="24"/>
      <c r="K28" s="41">
        <v>9.1411677666865324E-3</v>
      </c>
      <c r="L28" s="41">
        <v>0.28000000000000003</v>
      </c>
      <c r="M28" s="38"/>
      <c r="N28" s="38"/>
      <c r="O28" s="38"/>
      <c r="Q28" s="2"/>
    </row>
    <row r="29" spans="2:17" x14ac:dyDescent="0.25">
      <c r="B29" s="23" t="s">
        <v>95</v>
      </c>
      <c r="C29" s="40" t="s">
        <v>90</v>
      </c>
      <c r="D29" s="37">
        <v>1.9317744529503474E-2</v>
      </c>
      <c r="E29" s="37">
        <v>1.6269232557058524</v>
      </c>
      <c r="F29" s="48"/>
      <c r="G29" s="15"/>
      <c r="H29" s="36">
        <v>2.0506332008392889E-2</v>
      </c>
      <c r="I29" s="36">
        <v>1.51</v>
      </c>
      <c r="J29" s="24"/>
      <c r="K29" s="41">
        <v>1.5624819150889814E-2</v>
      </c>
      <c r="L29" s="41">
        <v>0.17</v>
      </c>
      <c r="M29" s="38"/>
      <c r="N29" s="38"/>
      <c r="O29" s="38"/>
      <c r="Q29" s="2"/>
    </row>
    <row r="30" spans="2:17" x14ac:dyDescent="0.25">
      <c r="B30" s="23" t="s">
        <v>96</v>
      </c>
      <c r="C30" s="40" t="s">
        <v>90</v>
      </c>
      <c r="D30" s="37">
        <v>3.8669340864390458E-2</v>
      </c>
      <c r="E30" s="37">
        <v>0.49504950495049505</v>
      </c>
      <c r="F30" s="48"/>
      <c r="G30" s="15"/>
      <c r="H30" s="36">
        <v>4.0757667309822034E-2</v>
      </c>
      <c r="I30" s="36">
        <v>4.651162790697675E-2</v>
      </c>
      <c r="J30" s="24"/>
      <c r="K30" s="41">
        <v>2.2631339664379597E-2</v>
      </c>
      <c r="L30" s="41"/>
      <c r="M30" s="38"/>
      <c r="N30" s="38"/>
      <c r="O30" s="38"/>
      <c r="Q30" s="2"/>
    </row>
    <row r="31" spans="2:17" x14ac:dyDescent="0.25">
      <c r="B31" s="23" t="s">
        <v>97</v>
      </c>
      <c r="C31" s="40" t="s">
        <v>90</v>
      </c>
      <c r="D31" s="37">
        <v>5.8801049115372265E-3</v>
      </c>
      <c r="E31" s="37">
        <v>5.7639566773578767E-2</v>
      </c>
      <c r="F31" s="47"/>
      <c r="G31" s="15"/>
      <c r="H31" s="36">
        <v>6.0547404278273294E-3</v>
      </c>
      <c r="I31" s="36">
        <v>5.6936647955092227E-2</v>
      </c>
      <c r="J31" s="18"/>
      <c r="K31" s="41">
        <v>2.0873628160133811E-2</v>
      </c>
      <c r="L31" s="41"/>
      <c r="M31" s="38"/>
      <c r="N31" s="38"/>
      <c r="O31" s="38"/>
      <c r="Q31" s="2"/>
    </row>
    <row r="32" spans="2:17" x14ac:dyDescent="0.25">
      <c r="B32" s="23" t="s">
        <v>98</v>
      </c>
      <c r="C32" s="40" t="s">
        <v>90</v>
      </c>
      <c r="D32" s="37">
        <v>4.5404477402367406E-4</v>
      </c>
      <c r="E32" s="37">
        <v>9.2967043183191572E-2</v>
      </c>
      <c r="F32" s="48"/>
      <c r="G32" s="15"/>
      <c r="H32" s="36">
        <v>4.6032755596374202E-4</v>
      </c>
      <c r="I32" s="36">
        <v>3.436819796082026E-2</v>
      </c>
      <c r="J32" s="49"/>
      <c r="K32" s="41">
        <v>1.2820909332017193E-4</v>
      </c>
      <c r="L32" s="41">
        <v>8.9999999999999993E-3</v>
      </c>
      <c r="M32" s="38"/>
      <c r="N32" s="38"/>
      <c r="O32" s="38"/>
      <c r="Q32" s="2"/>
    </row>
    <row r="33" spans="2:19" x14ac:dyDescent="0.25">
      <c r="B33" s="50" t="s">
        <v>99</v>
      </c>
      <c r="C33" s="40" t="s">
        <v>90</v>
      </c>
      <c r="D33" s="37">
        <v>7.4280305764492095E-5</v>
      </c>
      <c r="E33" s="37">
        <v>3.4862641193696842E-4</v>
      </c>
      <c r="F33" s="17"/>
      <c r="G33" s="15"/>
      <c r="H33" s="36">
        <v>7.5990542562486823E-5</v>
      </c>
      <c r="I33" s="36">
        <v>2.9999999999999997E-4</v>
      </c>
      <c r="J33" s="39"/>
      <c r="K33" s="41"/>
      <c r="L33" s="41"/>
      <c r="M33" s="38"/>
      <c r="N33" s="38"/>
      <c r="O33" s="38"/>
      <c r="Q33" s="2"/>
    </row>
    <row r="34" spans="2:19" x14ac:dyDescent="0.25">
      <c r="B34" s="18" t="s">
        <v>100</v>
      </c>
      <c r="C34" s="15"/>
      <c r="D34" s="16"/>
      <c r="E34" s="17"/>
      <c r="F34" s="17"/>
      <c r="G34" s="15"/>
      <c r="H34" s="36"/>
      <c r="I34" s="36"/>
      <c r="J34" s="39"/>
      <c r="K34" s="41"/>
      <c r="L34" s="41"/>
      <c r="M34" s="38"/>
      <c r="N34" s="38"/>
      <c r="O34" s="38"/>
      <c r="Q34" s="2"/>
    </row>
    <row r="35" spans="2:19" x14ac:dyDescent="0.25">
      <c r="B35" s="42" t="s">
        <v>101</v>
      </c>
      <c r="C35" s="15" t="s">
        <v>90</v>
      </c>
      <c r="D35" s="16"/>
      <c r="E35" s="17"/>
      <c r="F35" s="17"/>
      <c r="G35" s="15"/>
      <c r="H35" s="21"/>
      <c r="I35" s="36"/>
      <c r="J35" s="15"/>
      <c r="K35" s="15"/>
      <c r="L35" s="41"/>
      <c r="M35" s="38"/>
      <c r="N35" s="38"/>
      <c r="O35" s="38"/>
      <c r="Q35" s="2"/>
    </row>
    <row r="36" spans="2:19" x14ac:dyDescent="0.25">
      <c r="B36" s="23" t="s">
        <v>99</v>
      </c>
      <c r="C36" s="15" t="s">
        <v>90</v>
      </c>
      <c r="D36" s="16"/>
      <c r="E36" s="17"/>
      <c r="F36" s="17"/>
      <c r="G36" s="15"/>
      <c r="H36" s="21"/>
      <c r="I36" s="51"/>
      <c r="J36" s="49"/>
      <c r="K36" s="41"/>
      <c r="L36" s="41"/>
      <c r="M36" s="38"/>
      <c r="N36" s="38"/>
      <c r="O36" s="38"/>
      <c r="Q36" s="2"/>
    </row>
    <row r="37" spans="2:19" x14ac:dyDescent="0.25">
      <c r="B37" s="23" t="s">
        <v>102</v>
      </c>
      <c r="C37" s="15" t="s">
        <v>90</v>
      </c>
      <c r="D37" s="16"/>
      <c r="E37" s="17"/>
      <c r="F37" s="17"/>
      <c r="G37" s="15"/>
      <c r="H37" s="21"/>
      <c r="I37" s="52"/>
      <c r="J37" s="39"/>
      <c r="K37" s="41"/>
      <c r="L37" s="41"/>
      <c r="M37" s="38"/>
      <c r="N37" s="38"/>
      <c r="O37" s="38"/>
      <c r="Q37" s="2"/>
    </row>
    <row r="38" spans="2:19" x14ac:dyDescent="0.25">
      <c r="B38" s="23" t="s">
        <v>103</v>
      </c>
      <c r="C38" s="15" t="s">
        <v>90</v>
      </c>
      <c r="D38" s="16"/>
      <c r="E38" s="17"/>
      <c r="F38" s="17"/>
      <c r="G38" s="15"/>
      <c r="H38" s="21"/>
      <c r="I38" s="52"/>
      <c r="J38" s="39"/>
      <c r="K38" s="41"/>
      <c r="L38" s="41"/>
      <c r="M38" s="38"/>
      <c r="N38" s="38"/>
      <c r="O38" s="38"/>
      <c r="Q38" s="2"/>
    </row>
    <row r="39" spans="2:19" x14ac:dyDescent="0.25">
      <c r="B39" s="11" t="s">
        <v>104</v>
      </c>
      <c r="C39" s="15"/>
      <c r="D39" s="53"/>
      <c r="E39" s="15"/>
      <c r="F39" s="15"/>
      <c r="G39" s="15"/>
      <c r="H39" s="15"/>
      <c r="I39" s="49"/>
      <c r="J39" s="39"/>
      <c r="K39" s="41"/>
      <c r="L39" s="41"/>
      <c r="M39" s="38"/>
      <c r="N39" s="38"/>
      <c r="O39" s="38"/>
    </row>
    <row r="40" spans="2:19" x14ac:dyDescent="0.25">
      <c r="B40" s="54"/>
      <c r="C40" s="15"/>
      <c r="D40" s="53"/>
      <c r="E40" s="15"/>
      <c r="F40" s="32"/>
      <c r="G40" s="15"/>
      <c r="H40" s="15"/>
      <c r="I40" s="18"/>
      <c r="J40" s="18"/>
      <c r="K40" s="41"/>
      <c r="L40" s="41"/>
      <c r="M40" s="38"/>
      <c r="N40" s="38"/>
      <c r="O40" s="38"/>
    </row>
    <row r="41" spans="2:19" x14ac:dyDescent="0.25">
      <c r="B41" s="54"/>
      <c r="C41" s="55"/>
      <c r="D41" s="56"/>
      <c r="E41" s="55"/>
      <c r="F41" s="57"/>
      <c r="G41" s="15"/>
      <c r="H41" s="15"/>
      <c r="I41" s="39"/>
      <c r="J41" s="15"/>
      <c r="K41" s="15"/>
      <c r="L41" s="41"/>
      <c r="M41" s="38"/>
      <c r="N41" s="38"/>
      <c r="O41" s="38"/>
    </row>
    <row r="44" spans="2:19" x14ac:dyDescent="0.25">
      <c r="Q44" t="s">
        <v>135</v>
      </c>
    </row>
    <row r="45" spans="2:19" x14ac:dyDescent="0.25">
      <c r="B45" t="s">
        <v>60</v>
      </c>
      <c r="C45" t="s">
        <v>110</v>
      </c>
      <c r="Q45" s="58" t="s">
        <v>136</v>
      </c>
      <c r="R45" s="58"/>
      <c r="S45" s="58"/>
    </row>
    <row r="46" spans="2:19" x14ac:dyDescent="0.25">
      <c r="B46" t="s">
        <v>62</v>
      </c>
      <c r="C46" t="s">
        <v>111</v>
      </c>
      <c r="D46" t="s">
        <v>112</v>
      </c>
      <c r="E46" t="s">
        <v>112</v>
      </c>
      <c r="F46" t="s">
        <v>112</v>
      </c>
      <c r="G46" t="s">
        <v>112</v>
      </c>
      <c r="H46" t="s">
        <v>112</v>
      </c>
      <c r="I46" t="s">
        <v>112</v>
      </c>
      <c r="J46" t="s">
        <v>112</v>
      </c>
      <c r="Q46" s="58">
        <f>(D64+D66*23+D67*296)+(F64+F66*23+F67*296)</f>
        <v>77.455756001842872</v>
      </c>
      <c r="R46" s="58"/>
      <c r="S46" s="58"/>
    </row>
    <row r="47" spans="2:19" x14ac:dyDescent="0.25">
      <c r="B47" t="s">
        <v>67</v>
      </c>
      <c r="C47" t="s">
        <v>113</v>
      </c>
      <c r="D47" t="s">
        <v>114</v>
      </c>
      <c r="E47" t="s">
        <v>115</v>
      </c>
      <c r="F47" t="s">
        <v>116</v>
      </c>
      <c r="G47" t="s">
        <v>117</v>
      </c>
      <c r="H47" t="s">
        <v>118</v>
      </c>
      <c r="I47" t="s">
        <v>119</v>
      </c>
      <c r="J47" t="s">
        <v>120</v>
      </c>
      <c r="Q47" s="58" t="s">
        <v>137</v>
      </c>
      <c r="R47" s="58"/>
      <c r="S47" s="58"/>
    </row>
    <row r="48" spans="2:19" x14ac:dyDescent="0.25">
      <c r="B48" t="s">
        <v>121</v>
      </c>
      <c r="Q48" s="58">
        <f>(D64+D66*23+D67*296)+(G64+G66*23+G67*296)</f>
        <v>77.281606001842874</v>
      </c>
      <c r="R48" s="58"/>
      <c r="S48" s="58"/>
    </row>
    <row r="49" spans="2:19" x14ac:dyDescent="0.25">
      <c r="B49" t="s">
        <v>71</v>
      </c>
      <c r="C49" t="s">
        <v>8</v>
      </c>
      <c r="D49">
        <v>1.0995354136196569</v>
      </c>
      <c r="Q49" s="58" t="s">
        <v>138</v>
      </c>
      <c r="R49" s="58"/>
      <c r="S49" s="58"/>
    </row>
    <row r="50" spans="2:19" x14ac:dyDescent="0.25">
      <c r="B50" t="s">
        <v>122</v>
      </c>
      <c r="Q50" s="58">
        <f>(D64+D66*23+D67*296)+(H64+H66*23+H67*296)</f>
        <v>77.333216001842857</v>
      </c>
      <c r="R50" s="58"/>
      <c r="S50" s="58"/>
    </row>
    <row r="51" spans="2:19" x14ac:dyDescent="0.25">
      <c r="B51" t="s">
        <v>75</v>
      </c>
      <c r="C51" t="s">
        <v>8</v>
      </c>
      <c r="Q51" s="58"/>
      <c r="R51" s="58"/>
      <c r="S51" s="58"/>
    </row>
    <row r="52" spans="2:19" x14ac:dyDescent="0.25">
      <c r="B52" t="s">
        <v>77</v>
      </c>
      <c r="C52" t="s">
        <v>8</v>
      </c>
    </row>
    <row r="53" spans="2:19" x14ac:dyDescent="0.25">
      <c r="B53" t="s">
        <v>78</v>
      </c>
      <c r="C53" t="s">
        <v>8</v>
      </c>
    </row>
    <row r="54" spans="2:19" x14ac:dyDescent="0.25">
      <c r="B54" t="s">
        <v>79</v>
      </c>
      <c r="C54" t="s">
        <v>8</v>
      </c>
    </row>
    <row r="55" spans="2:19" x14ac:dyDescent="0.25">
      <c r="B55" t="s">
        <v>80</v>
      </c>
      <c r="C55" t="s">
        <v>8</v>
      </c>
    </row>
    <row r="56" spans="2:19" x14ac:dyDescent="0.25">
      <c r="B56" t="s">
        <v>81</v>
      </c>
      <c r="C56" t="s">
        <v>8</v>
      </c>
    </row>
    <row r="57" spans="2:19" x14ac:dyDescent="0.25">
      <c r="B57" t="s">
        <v>123</v>
      </c>
    </row>
    <row r="58" spans="2:19" x14ac:dyDescent="0.25">
      <c r="B58" t="s">
        <v>124</v>
      </c>
      <c r="C58" t="s">
        <v>8</v>
      </c>
    </row>
    <row r="59" spans="2:19" x14ac:dyDescent="0.25">
      <c r="B59" t="s">
        <v>84</v>
      </c>
      <c r="C59" t="s">
        <v>8</v>
      </c>
    </row>
    <row r="60" spans="2:19" x14ac:dyDescent="0.25">
      <c r="B60" t="s">
        <v>85</v>
      </c>
      <c r="C60" t="s">
        <v>8</v>
      </c>
    </row>
    <row r="61" spans="2:19" x14ac:dyDescent="0.25">
      <c r="B61" t="s">
        <v>125</v>
      </c>
      <c r="C61" t="s">
        <v>8</v>
      </c>
    </row>
    <row r="62" spans="2:19" x14ac:dyDescent="0.25">
      <c r="B62" t="s">
        <v>87</v>
      </c>
      <c r="C62" t="s">
        <v>8</v>
      </c>
    </row>
    <row r="63" spans="2:19" x14ac:dyDescent="0.25">
      <c r="B63" t="s">
        <v>88</v>
      </c>
    </row>
    <row r="64" spans="2:19" x14ac:dyDescent="0.25">
      <c r="B64" t="s">
        <v>89</v>
      </c>
      <c r="C64" t="s">
        <v>90</v>
      </c>
      <c r="D64">
        <v>6.3249014589198875</v>
      </c>
      <c r="E64">
        <v>69.580752495520869</v>
      </c>
      <c r="F64">
        <v>69.580752495520869</v>
      </c>
      <c r="G64">
        <v>69.580752495520869</v>
      </c>
      <c r="H64">
        <v>69.580752495520869</v>
      </c>
      <c r="I64">
        <v>69.580752495520869</v>
      </c>
      <c r="J64">
        <v>69.580752495520869</v>
      </c>
      <c r="L64">
        <f>D64+E64+(D66*23+E66*23)+(D67*296+E67*296)</f>
        <v>77.570936001842838</v>
      </c>
      <c r="M64" t="s">
        <v>182</v>
      </c>
    </row>
    <row r="65" spans="2:10" x14ac:dyDescent="0.25">
      <c r="B65" t="s">
        <v>91</v>
      </c>
      <c r="C65" t="s">
        <v>90</v>
      </c>
      <c r="D65">
        <v>0.10008190427437932</v>
      </c>
      <c r="E65">
        <v>3.4192475044791411</v>
      </c>
      <c r="F65">
        <v>3.4192475044791411</v>
      </c>
      <c r="G65">
        <v>3.4192475044791411</v>
      </c>
      <c r="H65">
        <v>3.4192475044791411</v>
      </c>
      <c r="I65">
        <v>3.4192475044791411</v>
      </c>
      <c r="J65">
        <v>3.4192475044791411</v>
      </c>
    </row>
    <row r="66" spans="2:10" x14ac:dyDescent="0.25">
      <c r="B66" t="s">
        <v>92</v>
      </c>
      <c r="C66" t="s">
        <v>90</v>
      </c>
      <c r="D66">
        <v>3.278359355003839E-2</v>
      </c>
      <c r="E66">
        <v>5.4000000000000001E-4</v>
      </c>
      <c r="F66">
        <v>6.8000000000000005E-4</v>
      </c>
      <c r="G66">
        <v>8.3000000000000001E-4</v>
      </c>
      <c r="H66">
        <v>5.0000000000000001E-4</v>
      </c>
      <c r="I66">
        <v>7.1000000000000002E-4</v>
      </c>
      <c r="J66">
        <v>6.3000000000000003E-4</v>
      </c>
    </row>
    <row r="67" spans="2:10" x14ac:dyDescent="0.25">
      <c r="B67" t="s">
        <v>126</v>
      </c>
      <c r="C67" t="s">
        <v>90</v>
      </c>
      <c r="D67">
        <v>1.0366195802405942E-3</v>
      </c>
      <c r="E67">
        <v>2E-3</v>
      </c>
      <c r="F67">
        <v>1.6000000000000001E-3</v>
      </c>
      <c r="G67">
        <v>1E-3</v>
      </c>
      <c r="H67">
        <v>1.1999999999999999E-3</v>
      </c>
      <c r="I67">
        <v>8.7000000000000001E-4</v>
      </c>
      <c r="J67">
        <v>6.6000000000000003E-6</v>
      </c>
    </row>
    <row r="68" spans="2:10" x14ac:dyDescent="0.25">
      <c r="B68" t="s">
        <v>94</v>
      </c>
      <c r="C68" t="s">
        <v>90</v>
      </c>
      <c r="D68">
        <v>6.0051702073201955E-3</v>
      </c>
      <c r="E68">
        <v>0.13</v>
      </c>
      <c r="F68">
        <v>0.17</v>
      </c>
      <c r="G68">
        <v>0.15</v>
      </c>
      <c r="H68">
        <v>0.14000000000000001</v>
      </c>
      <c r="I68">
        <v>0.14000000000000001</v>
      </c>
      <c r="J68">
        <v>0.18</v>
      </c>
    </row>
    <row r="69" spans="2:10" x14ac:dyDescent="0.25">
      <c r="B69" t="s">
        <v>95</v>
      </c>
      <c r="C69" t="s">
        <v>90</v>
      </c>
      <c r="D69">
        <v>1.8373765037112876E-2</v>
      </c>
      <c r="E69">
        <v>0.22</v>
      </c>
      <c r="F69">
        <v>0.35</v>
      </c>
      <c r="G69">
        <v>0.68</v>
      </c>
      <c r="H69">
        <v>0.6</v>
      </c>
      <c r="I69">
        <v>0.67</v>
      </c>
      <c r="J69">
        <v>0.67</v>
      </c>
    </row>
    <row r="70" spans="2:10" x14ac:dyDescent="0.25">
      <c r="B70" t="s">
        <v>96</v>
      </c>
      <c r="C70" t="s">
        <v>90</v>
      </c>
      <c r="D70">
        <v>1.6793242897363708E-2</v>
      </c>
      <c r="E70">
        <v>9.2999999999999997E-5</v>
      </c>
      <c r="F70">
        <v>9.2999999999999997E-5</v>
      </c>
      <c r="G70">
        <v>9.2999999999999997E-5</v>
      </c>
      <c r="H70">
        <v>9.2999999999999997E-5</v>
      </c>
      <c r="I70">
        <v>9.2999999999999997E-5</v>
      </c>
      <c r="J70">
        <v>9.2999999999999997E-5</v>
      </c>
    </row>
    <row r="71" spans="2:10" x14ac:dyDescent="0.25">
      <c r="B71" t="s">
        <v>97</v>
      </c>
      <c r="C71" t="s">
        <v>90</v>
      </c>
      <c r="D71">
        <v>2.3682672126951628E-2</v>
      </c>
      <c r="E71">
        <v>2.1999999999999999E-2</v>
      </c>
      <c r="F71">
        <v>2.8000000000000001E-2</v>
      </c>
      <c r="G71">
        <v>3.4000000000000002E-2</v>
      </c>
      <c r="H71">
        <v>2.1000000000000001E-2</v>
      </c>
      <c r="I71">
        <v>0.03</v>
      </c>
      <c r="J71">
        <v>2.5999999999999999E-2</v>
      </c>
    </row>
    <row r="72" spans="2:10" x14ac:dyDescent="0.25">
      <c r="B72" t="s">
        <v>98</v>
      </c>
      <c r="C72" t="s">
        <v>90</v>
      </c>
      <c r="D72">
        <v>9.6753314563603797E-4</v>
      </c>
      <c r="E72">
        <v>1.6E-2</v>
      </c>
      <c r="F72">
        <v>3.4000000000000002E-2</v>
      </c>
      <c r="G72">
        <v>1.4999999999999999E-2</v>
      </c>
      <c r="H72">
        <v>1.2E-2</v>
      </c>
      <c r="I72">
        <v>1.2999999999999999E-2</v>
      </c>
      <c r="J72">
        <v>1.4E-2</v>
      </c>
    </row>
    <row r="73" spans="2:10" x14ac:dyDescent="0.25">
      <c r="B73" t="s">
        <v>99</v>
      </c>
      <c r="C73" t="s">
        <v>90</v>
      </c>
      <c r="D73">
        <v>2.8358075249552094E-4</v>
      </c>
      <c r="E73">
        <v>4.4999999999999999E-4</v>
      </c>
      <c r="F73">
        <v>3.6000000000000002E-4</v>
      </c>
      <c r="G73">
        <v>3.8000000000000002E-4</v>
      </c>
      <c r="H73">
        <v>2.1000000000000001E-4</v>
      </c>
      <c r="I73">
        <v>2.9E-4</v>
      </c>
      <c r="J73">
        <v>2.1000000000000001E-4</v>
      </c>
    </row>
    <row r="74" spans="2:10" x14ac:dyDescent="0.25">
      <c r="B74" t="s">
        <v>100</v>
      </c>
      <c r="C74" t="s">
        <v>90</v>
      </c>
    </row>
    <row r="75" spans="2:10" x14ac:dyDescent="0.25">
      <c r="B75" t="s">
        <v>101</v>
      </c>
      <c r="C75" t="s">
        <v>90</v>
      </c>
      <c r="D75">
        <v>2.5830662912720762E-5</v>
      </c>
    </row>
    <row r="76" spans="2:10" x14ac:dyDescent="0.25">
      <c r="B76" t="s">
        <v>99</v>
      </c>
      <c r="C76" t="s">
        <v>90</v>
      </c>
      <c r="D76">
        <v>2.5550694092244697E-2</v>
      </c>
    </row>
    <row r="77" spans="2:10" x14ac:dyDescent="0.25">
      <c r="B77" t="s">
        <v>102</v>
      </c>
      <c r="C77" t="s">
        <v>90</v>
      </c>
      <c r="D77">
        <v>2.4210289224468902E-5</v>
      </c>
    </row>
    <row r="78" spans="2:10" x14ac:dyDescent="0.25">
      <c r="B78" t="s">
        <v>103</v>
      </c>
      <c r="D78">
        <v>3.0415203480931664E-7</v>
      </c>
    </row>
    <row r="79" spans="2:10" x14ac:dyDescent="0.25">
      <c r="B79" t="s">
        <v>104</v>
      </c>
    </row>
    <row r="80" spans="2:10" x14ac:dyDescent="0.25">
      <c r="B80" t="s">
        <v>127</v>
      </c>
      <c r="C80" t="s">
        <v>128</v>
      </c>
      <c r="D80">
        <v>7.3857635063219869</v>
      </c>
      <c r="E80">
        <v>70.185172495520874</v>
      </c>
      <c r="F80">
        <v>70.069992495520879</v>
      </c>
      <c r="G80">
        <v>69.895842495520881</v>
      </c>
      <c r="H80">
        <v>69.947452495520864</v>
      </c>
      <c r="I80">
        <v>69.854602495520865</v>
      </c>
      <c r="J80">
        <v>69.597196095520857</v>
      </c>
    </row>
    <row r="81" spans="2:10" x14ac:dyDescent="0.25">
      <c r="B81" t="s">
        <v>129</v>
      </c>
      <c r="C81" t="s">
        <v>130</v>
      </c>
      <c r="D81">
        <v>2.4907299365241877E-3</v>
      </c>
      <c r="E81">
        <v>2.8757500000000002E-2</v>
      </c>
      <c r="F81">
        <v>3.4000000000000002E-2</v>
      </c>
      <c r="G81">
        <v>2.4750000000000001E-2</v>
      </c>
      <c r="H81">
        <v>2.24E-2</v>
      </c>
      <c r="I81">
        <v>2.2749999999999999E-2</v>
      </c>
      <c r="J81">
        <v>2.8299999999999999E-2</v>
      </c>
    </row>
    <row r="82" spans="2:10" x14ac:dyDescent="0.25">
      <c r="B82" t="s">
        <v>131</v>
      </c>
      <c r="C82" t="s">
        <v>132</v>
      </c>
      <c r="D82">
        <v>7.7690183316762751E-2</v>
      </c>
      <c r="E82">
        <v>0.15409300000000001</v>
      </c>
      <c r="F82">
        <v>0.46899999999999997</v>
      </c>
      <c r="G82">
        <v>0.78500000000000003</v>
      </c>
      <c r="H82">
        <v>0.69799999999999995</v>
      </c>
      <c r="I82">
        <v>0.76800000000000002</v>
      </c>
      <c r="J82">
        <v>0.79600000000000004</v>
      </c>
    </row>
    <row r="83" spans="2:10" x14ac:dyDescent="0.25">
      <c r="B83" t="s">
        <v>133</v>
      </c>
      <c r="C83" t="s">
        <v>134</v>
      </c>
      <c r="D83">
        <v>1.0146144077015614E-2</v>
      </c>
      <c r="E83">
        <v>1.3414000000000001E-2</v>
      </c>
      <c r="F83" t="e">
        <v>#REF!</v>
      </c>
      <c r="G83" t="e">
        <v>#REF!</v>
      </c>
      <c r="H83" t="e">
        <v>#REF!</v>
      </c>
      <c r="I83" t="e">
        <v>#REF!</v>
      </c>
      <c r="J83" t="e">
        <v>#REF!</v>
      </c>
    </row>
    <row r="88" spans="2:10" x14ac:dyDescent="0.25">
      <c r="B88" s="4" t="s">
        <v>434</v>
      </c>
    </row>
    <row r="90" spans="2:10" ht="45" x14ac:dyDescent="0.25">
      <c r="B90" s="4" t="s">
        <v>427</v>
      </c>
      <c r="C90" s="162" t="s">
        <v>428</v>
      </c>
      <c r="D90" s="162" t="s">
        <v>429</v>
      </c>
      <c r="E90" s="162" t="s">
        <v>430</v>
      </c>
      <c r="F90" s="162" t="s">
        <v>435</v>
      </c>
    </row>
    <row r="91" spans="2:10" x14ac:dyDescent="0.25">
      <c r="B91" s="161" t="s">
        <v>422</v>
      </c>
      <c r="C91" s="161">
        <v>48.63</v>
      </c>
      <c r="D91" s="161"/>
      <c r="E91" s="161">
        <v>29</v>
      </c>
      <c r="F91" s="161">
        <v>29</v>
      </c>
    </row>
    <row r="92" spans="2:10" x14ac:dyDescent="0.25">
      <c r="B92" s="161" t="s">
        <v>421</v>
      </c>
      <c r="C92" s="161"/>
      <c r="D92" s="161">
        <v>20.100000000000001</v>
      </c>
      <c r="E92" s="161"/>
      <c r="F92" s="161">
        <v>29</v>
      </c>
    </row>
    <row r="93" spans="2:10" x14ac:dyDescent="0.25">
      <c r="B93" s="161" t="s">
        <v>313</v>
      </c>
      <c r="C93" s="161">
        <v>15.68</v>
      </c>
      <c r="D93" s="161"/>
      <c r="E93" s="161">
        <v>14</v>
      </c>
      <c r="F93" s="161">
        <v>49</v>
      </c>
    </row>
    <row r="94" spans="2:10" x14ac:dyDescent="0.25">
      <c r="B94" s="161" t="s">
        <v>420</v>
      </c>
      <c r="C94" s="161">
        <v>56.5</v>
      </c>
      <c r="D94" s="161"/>
      <c r="E94" s="161">
        <v>19</v>
      </c>
      <c r="F94" s="161">
        <v>19</v>
      </c>
    </row>
    <row r="95" spans="2:10" x14ac:dyDescent="0.25">
      <c r="B95" s="161" t="s">
        <v>431</v>
      </c>
      <c r="C95" s="161"/>
      <c r="D95" s="161"/>
      <c r="E95" s="161">
        <v>30</v>
      </c>
      <c r="F95" s="161"/>
    </row>
    <row r="97" spans="2:2" x14ac:dyDescent="0.25">
      <c r="B97" s="4"/>
    </row>
    <row r="98" spans="2:2" x14ac:dyDescent="0.25">
      <c r="B98" s="161"/>
    </row>
    <row r="99" spans="2:2" x14ac:dyDescent="0.25">
      <c r="B99" s="161"/>
    </row>
    <row r="100" spans="2:2" x14ac:dyDescent="0.25">
      <c r="B100" s="161"/>
    </row>
    <row r="101" spans="2:2" x14ac:dyDescent="0.25">
      <c r="B101" s="161"/>
    </row>
    <row r="102" spans="2:2" x14ac:dyDescent="0.25">
      <c r="B102" s="161"/>
    </row>
  </sheetData>
  <sheetProtection password="EA8D" sheet="1" objects="1" scenarios="1"/>
  <mergeCells count="2">
    <mergeCell ref="D4:F4"/>
    <mergeCell ref="H4:I4"/>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rgb="FFC00000"/>
  </sheetPr>
  <dimension ref="A2:W206"/>
  <sheetViews>
    <sheetView zoomScale="85" zoomScaleNormal="85" workbookViewId="0">
      <selection activeCell="F206" sqref="F206"/>
    </sheetView>
  </sheetViews>
  <sheetFormatPr defaultRowHeight="15" x14ac:dyDescent="0.25"/>
  <cols>
    <col min="1" max="1" width="30.140625" style="161" customWidth="1"/>
    <col min="2" max="2" width="10.85546875" style="161" customWidth="1"/>
    <col min="3" max="3" width="26" style="161" customWidth="1"/>
    <col min="4" max="4" width="29.5703125" style="161" customWidth="1"/>
    <col min="5" max="5" width="31.7109375" style="161" customWidth="1"/>
    <col min="6" max="6" width="20.5703125" style="161" customWidth="1"/>
    <col min="7" max="7" width="16" style="161" customWidth="1"/>
    <col min="8" max="8" width="12.42578125" style="161" customWidth="1"/>
    <col min="9" max="9" width="13.85546875" style="161" bestFit="1" customWidth="1"/>
    <col min="10" max="10" width="13.42578125" style="161" customWidth="1"/>
    <col min="11" max="16384" width="9.140625" style="161"/>
  </cols>
  <sheetData>
    <row r="2" spans="1:19" ht="20.25" thickBot="1" x14ac:dyDescent="0.35">
      <c r="A2" s="343" t="s">
        <v>478</v>
      </c>
      <c r="B2" s="343"/>
      <c r="C2" s="343"/>
      <c r="D2" s="343"/>
      <c r="E2" s="343"/>
      <c r="F2" s="343"/>
      <c r="G2" s="343"/>
      <c r="H2" s="343"/>
      <c r="I2" s="343"/>
      <c r="J2" s="343"/>
      <c r="K2" s="343"/>
      <c r="L2" s="343"/>
      <c r="M2" s="343"/>
    </row>
    <row r="3" spans="1:19" ht="15.75" thickTop="1" x14ac:dyDescent="0.25">
      <c r="A3" s="11" t="s">
        <v>60</v>
      </c>
      <c r="B3" s="12" t="s">
        <v>61</v>
      </c>
      <c r="C3" s="13"/>
      <c r="D3" s="14"/>
      <c r="E3" s="14"/>
      <c r="F3" s="14"/>
      <c r="G3" s="14"/>
      <c r="H3" s="14"/>
      <c r="I3" s="14"/>
      <c r="J3" s="14"/>
      <c r="K3" s="14"/>
      <c r="L3" s="14"/>
      <c r="M3" s="14"/>
      <c r="N3" s="14"/>
    </row>
    <row r="4" spans="1:19" x14ac:dyDescent="0.25">
      <c r="A4" s="11" t="s">
        <v>62</v>
      </c>
      <c r="B4" s="14" t="s">
        <v>63</v>
      </c>
      <c r="C4" s="310" t="s">
        <v>64</v>
      </c>
      <c r="D4" s="311"/>
      <c r="E4" s="311"/>
      <c r="F4" s="14"/>
      <c r="G4" s="312" t="s">
        <v>65</v>
      </c>
      <c r="H4" s="312"/>
      <c r="I4" s="11"/>
      <c r="J4" s="14" t="s">
        <v>66</v>
      </c>
      <c r="K4" s="14"/>
      <c r="L4" s="14"/>
      <c r="M4" s="14"/>
      <c r="N4" s="14"/>
    </row>
    <row r="5" spans="1:19" x14ac:dyDescent="0.25">
      <c r="A5" s="11" t="s">
        <v>67</v>
      </c>
      <c r="B5" s="15"/>
      <c r="C5" s="16"/>
      <c r="D5" s="17"/>
      <c r="E5" s="17"/>
      <c r="F5" s="15"/>
      <c r="G5" s="15"/>
      <c r="H5" s="14"/>
      <c r="I5" s="15"/>
      <c r="J5" s="15"/>
      <c r="K5" s="15"/>
      <c r="L5" s="15"/>
      <c r="M5" s="15"/>
      <c r="N5" s="15"/>
    </row>
    <row r="6" spans="1:19" x14ac:dyDescent="0.25">
      <c r="A6" s="18" t="s">
        <v>68</v>
      </c>
      <c r="B6" s="14"/>
      <c r="C6" s="19" t="s">
        <v>69</v>
      </c>
      <c r="D6" s="19" t="s">
        <v>70</v>
      </c>
      <c r="E6" s="20"/>
      <c r="F6" s="15"/>
      <c r="G6" s="21" t="s">
        <v>69</v>
      </c>
      <c r="H6" s="22" t="s">
        <v>70</v>
      </c>
      <c r="I6" s="14"/>
      <c r="J6" s="21" t="s">
        <v>69</v>
      </c>
      <c r="K6" s="22" t="s">
        <v>70</v>
      </c>
      <c r="L6" s="14"/>
      <c r="M6" s="14"/>
      <c r="N6" s="14"/>
      <c r="P6" s="58" t="s">
        <v>105</v>
      </c>
      <c r="Q6" s="58"/>
      <c r="R6" s="58"/>
      <c r="S6" s="58"/>
    </row>
    <row r="7" spans="1:19" x14ac:dyDescent="0.25">
      <c r="A7" s="23" t="s">
        <v>71</v>
      </c>
      <c r="B7" s="24"/>
      <c r="C7" s="25">
        <v>1.0900000000000001</v>
      </c>
      <c r="D7" s="26"/>
      <c r="E7" s="27"/>
      <c r="F7" s="15"/>
      <c r="G7" s="28">
        <v>1.1599999999999999</v>
      </c>
      <c r="H7" s="22"/>
      <c r="I7" s="15"/>
      <c r="J7" s="29">
        <v>1.1008341073987062</v>
      </c>
      <c r="K7" s="14"/>
      <c r="L7" s="14"/>
      <c r="M7" s="14"/>
      <c r="N7" s="14"/>
      <c r="P7" s="58" t="s">
        <v>106</v>
      </c>
      <c r="Q7" s="58" t="s">
        <v>107</v>
      </c>
      <c r="R7" s="58" t="s">
        <v>108</v>
      </c>
      <c r="S7" s="58"/>
    </row>
    <row r="8" spans="1:19" x14ac:dyDescent="0.25">
      <c r="A8" s="23" t="s">
        <v>72</v>
      </c>
      <c r="B8" s="24"/>
      <c r="C8" s="30">
        <v>1.0900000000000001</v>
      </c>
      <c r="D8" s="26"/>
      <c r="E8" s="27"/>
      <c r="F8" s="15"/>
      <c r="G8" s="28">
        <v>1.1599999999999999</v>
      </c>
      <c r="H8" s="21"/>
      <c r="I8" s="15"/>
      <c r="J8" s="31">
        <v>1.1008341073987062</v>
      </c>
      <c r="K8" s="32"/>
      <c r="L8" s="15"/>
      <c r="M8" s="15"/>
      <c r="N8" s="15"/>
      <c r="P8" s="59">
        <f>(C24+D24)*1+(C26+D26)*23+(C27+D27)*296</f>
        <v>88.148127230978019</v>
      </c>
      <c r="Q8" s="59">
        <f>(G24+H24)*1+(G26+H26)*23+(G27+H27)*296</f>
        <v>83.822745570643633</v>
      </c>
      <c r="R8" s="59">
        <f>(J24+K24)*1+(J26+K26)*23+(J27)*296</f>
        <v>72.529283154947777</v>
      </c>
      <c r="S8" s="58"/>
    </row>
    <row r="9" spans="1:19" x14ac:dyDescent="0.25">
      <c r="A9" s="23" t="s">
        <v>73</v>
      </c>
      <c r="B9" s="15"/>
      <c r="C9" s="16">
        <v>0</v>
      </c>
      <c r="D9" s="17"/>
      <c r="E9" s="17"/>
      <c r="F9" s="15"/>
      <c r="G9" s="21">
        <v>0</v>
      </c>
      <c r="H9" s="21"/>
      <c r="I9" s="15"/>
      <c r="J9" s="31">
        <v>0</v>
      </c>
      <c r="K9" s="33"/>
      <c r="L9" s="15"/>
      <c r="M9" s="15"/>
      <c r="N9" s="15"/>
      <c r="P9" s="58"/>
      <c r="Q9" s="58"/>
      <c r="R9" s="58"/>
      <c r="S9" s="58"/>
    </row>
    <row r="10" spans="1:19" x14ac:dyDescent="0.25">
      <c r="A10" s="18" t="s">
        <v>74</v>
      </c>
      <c r="B10" s="15"/>
      <c r="C10" s="16"/>
      <c r="D10" s="17"/>
      <c r="E10" s="17"/>
      <c r="F10" s="15"/>
      <c r="G10" s="21"/>
      <c r="H10" s="21"/>
      <c r="I10" s="15"/>
      <c r="J10" s="31"/>
      <c r="K10" s="32"/>
      <c r="L10" s="15"/>
      <c r="M10" s="15"/>
      <c r="N10" s="15"/>
      <c r="P10" s="2"/>
    </row>
    <row r="11" spans="1:19" x14ac:dyDescent="0.25">
      <c r="A11" s="23" t="s">
        <v>75</v>
      </c>
      <c r="B11" s="24" t="s">
        <v>8</v>
      </c>
      <c r="C11" s="34">
        <v>1.03</v>
      </c>
      <c r="D11" s="26"/>
      <c r="E11" s="27"/>
      <c r="F11" s="15"/>
      <c r="G11" s="35">
        <v>1.0962747704820954</v>
      </c>
      <c r="H11" s="36"/>
      <c r="I11" s="15" t="s">
        <v>76</v>
      </c>
      <c r="J11" s="31">
        <v>4.1105449788786897E-3</v>
      </c>
      <c r="K11" s="32"/>
      <c r="L11" s="15"/>
      <c r="M11" s="15"/>
      <c r="N11" s="15"/>
      <c r="P11" s="2"/>
    </row>
    <row r="12" spans="1:19" x14ac:dyDescent="0.25">
      <c r="A12" s="23" t="s">
        <v>77</v>
      </c>
      <c r="B12" s="15" t="s">
        <v>8</v>
      </c>
      <c r="C12" s="37">
        <v>0.06</v>
      </c>
      <c r="D12" s="17"/>
      <c r="E12" s="17"/>
      <c r="F12" s="15"/>
      <c r="G12" s="36">
        <v>0.06</v>
      </c>
      <c r="H12" s="36"/>
      <c r="I12" s="38"/>
      <c r="J12" s="31">
        <v>1.0967235624198275</v>
      </c>
      <c r="K12" s="32"/>
      <c r="L12" s="15"/>
      <c r="M12" s="15"/>
      <c r="N12" s="15"/>
      <c r="P12" s="2"/>
    </row>
    <row r="13" spans="1:19" x14ac:dyDescent="0.25">
      <c r="A13" s="23" t="s">
        <v>78</v>
      </c>
      <c r="B13" s="15" t="s">
        <v>8</v>
      </c>
      <c r="C13" s="37">
        <v>2.6214972901980587E-3</v>
      </c>
      <c r="D13" s="17"/>
      <c r="E13" s="17"/>
      <c r="F13" s="15"/>
      <c r="G13" s="36">
        <v>2.9902729885157263E-3</v>
      </c>
      <c r="H13" s="36"/>
      <c r="I13" s="15"/>
      <c r="J13" s="24"/>
      <c r="K13" s="24"/>
      <c r="L13" s="38"/>
      <c r="M13" s="38"/>
      <c r="N13" s="38"/>
      <c r="P13" s="2"/>
    </row>
    <row r="14" spans="1:19" x14ac:dyDescent="0.25">
      <c r="A14" s="23" t="s">
        <v>79</v>
      </c>
      <c r="B14" s="15" t="s">
        <v>8</v>
      </c>
      <c r="C14" s="37">
        <v>9.558597286691543E-4</v>
      </c>
      <c r="D14" s="17"/>
      <c r="E14" s="17"/>
      <c r="F14" s="15"/>
      <c r="G14" s="36">
        <v>9.558597286691543E-4</v>
      </c>
      <c r="H14" s="36"/>
      <c r="I14" s="15"/>
      <c r="J14" s="15"/>
      <c r="K14" s="24"/>
      <c r="L14" s="38"/>
      <c r="M14" s="38"/>
      <c r="N14" s="38"/>
      <c r="P14" s="2"/>
    </row>
    <row r="15" spans="1:19" x14ac:dyDescent="0.25">
      <c r="A15" s="23" t="s">
        <v>80</v>
      </c>
      <c r="B15" s="15" t="s">
        <v>8</v>
      </c>
      <c r="C15" s="37"/>
      <c r="D15" s="17"/>
      <c r="E15" s="17"/>
      <c r="F15" s="15"/>
      <c r="G15" s="36"/>
      <c r="H15" s="36"/>
      <c r="I15" s="15"/>
      <c r="J15" s="15"/>
      <c r="K15" s="24"/>
      <c r="L15" s="38"/>
      <c r="M15" s="38"/>
      <c r="N15" s="38"/>
      <c r="P15" s="2"/>
    </row>
    <row r="16" spans="1:19" x14ac:dyDescent="0.25">
      <c r="A16" s="23" t="s">
        <v>81</v>
      </c>
      <c r="B16" s="15" t="s">
        <v>8</v>
      </c>
      <c r="C16" s="37"/>
      <c r="D16" s="17"/>
      <c r="E16" s="17"/>
      <c r="F16" s="15"/>
      <c r="G16" s="36"/>
      <c r="H16" s="36"/>
      <c r="I16" s="39"/>
      <c r="J16" s="40"/>
      <c r="K16" s="24"/>
      <c r="L16" s="38"/>
      <c r="M16" s="38"/>
      <c r="N16" s="38"/>
      <c r="P16" s="2"/>
    </row>
    <row r="17" spans="1:16" x14ac:dyDescent="0.25">
      <c r="A17" s="18" t="s">
        <v>82</v>
      </c>
      <c r="B17" s="15"/>
      <c r="C17" s="37"/>
      <c r="D17" s="17"/>
      <c r="E17" s="17"/>
      <c r="F17" s="15"/>
      <c r="G17" s="36"/>
      <c r="H17" s="36"/>
      <c r="I17" s="18"/>
      <c r="J17" s="24"/>
      <c r="K17" s="24"/>
      <c r="L17" s="38"/>
      <c r="M17" s="38"/>
      <c r="N17" s="38"/>
      <c r="P17" s="2"/>
    </row>
    <row r="18" spans="1:16" x14ac:dyDescent="0.25">
      <c r="A18" s="23" t="s">
        <v>83</v>
      </c>
      <c r="B18" s="15" t="s">
        <v>8</v>
      </c>
      <c r="C18" s="37"/>
      <c r="D18" s="17"/>
      <c r="E18" s="17"/>
      <c r="F18" s="15"/>
      <c r="G18" s="36"/>
      <c r="H18" s="36"/>
      <c r="I18" s="15"/>
      <c r="J18" s="15"/>
      <c r="K18" s="41"/>
      <c r="L18" s="38"/>
      <c r="M18" s="38"/>
      <c r="N18" s="38"/>
      <c r="P18" s="2"/>
    </row>
    <row r="19" spans="1:16" x14ac:dyDescent="0.25">
      <c r="A19" s="23" t="s">
        <v>84</v>
      </c>
      <c r="B19" s="15" t="s">
        <v>8</v>
      </c>
      <c r="C19" s="37"/>
      <c r="D19" s="17"/>
      <c r="E19" s="17"/>
      <c r="F19" s="15"/>
      <c r="G19" s="36"/>
      <c r="H19" s="36"/>
      <c r="I19" s="24"/>
      <c r="J19" s="41"/>
      <c r="K19" s="41"/>
      <c r="L19" s="38"/>
      <c r="M19" s="38"/>
      <c r="N19" s="38"/>
      <c r="P19" s="2"/>
    </row>
    <row r="20" spans="1:16" x14ac:dyDescent="0.25">
      <c r="A20" s="23" t="s">
        <v>85</v>
      </c>
      <c r="B20" s="15" t="s">
        <v>8</v>
      </c>
      <c r="C20" s="37"/>
      <c r="D20" s="17"/>
      <c r="E20" s="17"/>
      <c r="F20" s="15"/>
      <c r="G20" s="36"/>
      <c r="H20" s="36"/>
      <c r="I20" s="24"/>
      <c r="J20" s="41"/>
      <c r="K20" s="41"/>
      <c r="L20" s="38"/>
      <c r="M20" s="38"/>
      <c r="N20" s="38"/>
      <c r="P20" s="2"/>
    </row>
    <row r="21" spans="1:16" x14ac:dyDescent="0.25">
      <c r="A21" s="23" t="s">
        <v>86</v>
      </c>
      <c r="B21" s="15"/>
      <c r="C21" s="37"/>
      <c r="D21" s="17"/>
      <c r="E21" s="17"/>
      <c r="F21" s="15"/>
      <c r="G21" s="36"/>
      <c r="H21" s="36"/>
      <c r="I21" s="24"/>
      <c r="J21" s="41"/>
      <c r="K21" s="41"/>
      <c r="L21" s="38"/>
      <c r="M21" s="38"/>
      <c r="N21" s="38"/>
      <c r="P21" s="2"/>
    </row>
    <row r="22" spans="1:16" x14ac:dyDescent="0.25">
      <c r="A22" s="23" t="s">
        <v>87</v>
      </c>
      <c r="B22" s="15" t="s">
        <v>8</v>
      </c>
      <c r="C22" s="37"/>
      <c r="D22" s="17"/>
      <c r="E22" s="17"/>
      <c r="F22" s="15"/>
      <c r="G22" s="36"/>
      <c r="H22" s="36"/>
      <c r="I22" s="24"/>
      <c r="J22" s="41"/>
      <c r="K22" s="41"/>
      <c r="L22" s="38"/>
      <c r="M22" s="38"/>
      <c r="N22" s="38"/>
      <c r="P22" s="2"/>
    </row>
    <row r="23" spans="1:16" x14ac:dyDescent="0.25">
      <c r="A23" s="18" t="s">
        <v>88</v>
      </c>
      <c r="B23" s="15"/>
      <c r="C23" s="37"/>
      <c r="D23" s="37"/>
      <c r="E23" s="17"/>
      <c r="F23" s="15"/>
      <c r="G23" s="36"/>
      <c r="H23" s="36"/>
      <c r="I23" s="24"/>
      <c r="J23" s="41"/>
      <c r="K23" s="41"/>
      <c r="L23" s="38"/>
      <c r="M23" s="38"/>
      <c r="N23" s="38"/>
      <c r="P23" s="2"/>
    </row>
    <row r="24" spans="1:16" x14ac:dyDescent="0.25">
      <c r="A24" s="42" t="s">
        <v>89</v>
      </c>
      <c r="B24" s="40" t="s">
        <v>90</v>
      </c>
      <c r="C24" s="37">
        <v>6.6752910233908365</v>
      </c>
      <c r="D24" s="37">
        <v>78.673360293775858</v>
      </c>
      <c r="E24" s="43"/>
      <c r="F24" s="15"/>
      <c r="G24" s="36">
        <v>7.0164733166102433</v>
      </c>
      <c r="H24" s="36">
        <v>73.89</v>
      </c>
      <c r="I24" s="24"/>
      <c r="J24" s="44">
        <v>6.9670903566594129</v>
      </c>
      <c r="K24" s="44">
        <v>57</v>
      </c>
      <c r="L24" s="38"/>
      <c r="M24" s="38"/>
      <c r="N24" s="38"/>
      <c r="P24" s="2"/>
    </row>
    <row r="25" spans="1:16" x14ac:dyDescent="0.25">
      <c r="A25" s="45" t="s">
        <v>91</v>
      </c>
      <c r="B25" s="40" t="s">
        <v>90</v>
      </c>
      <c r="C25" s="37">
        <v>0</v>
      </c>
      <c r="D25" s="37">
        <v>0</v>
      </c>
      <c r="E25" s="27"/>
      <c r="F25" s="15"/>
      <c r="G25" s="36">
        <v>0</v>
      </c>
      <c r="H25" s="36">
        <v>0</v>
      </c>
      <c r="I25" s="24"/>
      <c r="J25" s="44">
        <v>0</v>
      </c>
      <c r="K25" s="40">
        <v>0</v>
      </c>
      <c r="L25" s="38"/>
      <c r="M25" s="38"/>
      <c r="N25" s="38"/>
      <c r="P25" s="2"/>
    </row>
    <row r="26" spans="1:16" x14ac:dyDescent="0.25">
      <c r="A26" s="23" t="s">
        <v>92</v>
      </c>
      <c r="B26" s="40" t="s">
        <v>90</v>
      </c>
      <c r="C26" s="37">
        <v>7.290189484897279E-2</v>
      </c>
      <c r="D26" s="37">
        <v>4.6483521591595783E-4</v>
      </c>
      <c r="E26" s="46"/>
      <c r="F26" s="15"/>
      <c r="G26" s="36">
        <v>7.7876801961408587E-2</v>
      </c>
      <c r="H26" s="36">
        <v>5.0000000000000001E-4</v>
      </c>
      <c r="I26" s="18"/>
      <c r="J26" s="41">
        <v>4.6089637703737439E-2</v>
      </c>
      <c r="K26" s="41">
        <v>0.28000000000000003</v>
      </c>
      <c r="L26" s="38"/>
      <c r="M26" s="38"/>
      <c r="N26" s="38"/>
      <c r="P26" s="2"/>
    </row>
    <row r="27" spans="1:16" x14ac:dyDescent="0.25">
      <c r="A27" s="23" t="s">
        <v>93</v>
      </c>
      <c r="B27" s="40" t="s">
        <v>90</v>
      </c>
      <c r="C27" s="37">
        <v>1.5442276016108879E-4</v>
      </c>
      <c r="D27" s="37">
        <v>3.6024729233486729E-3</v>
      </c>
      <c r="E27" s="46"/>
      <c r="F27" s="15"/>
      <c r="G27" s="36">
        <v>1.6218178689523488E-4</v>
      </c>
      <c r="H27" s="36">
        <v>3.5999999999999999E-3</v>
      </c>
      <c r="I27" s="24"/>
      <c r="J27" s="44">
        <v>3.5882808483189326E-3</v>
      </c>
      <c r="K27" s="40"/>
      <c r="L27" s="38"/>
      <c r="M27" s="38"/>
      <c r="N27" s="38"/>
      <c r="P27" s="2"/>
    </row>
    <row r="28" spans="1:16" x14ac:dyDescent="0.25">
      <c r="A28" s="23" t="s">
        <v>94</v>
      </c>
      <c r="B28" s="40" t="s">
        <v>90</v>
      </c>
      <c r="C28" s="37">
        <v>9.1411677666865324E-3</v>
      </c>
      <c r="D28" s="37">
        <v>0.12782968437688841</v>
      </c>
      <c r="E28" s="47"/>
      <c r="F28" s="15"/>
      <c r="G28" s="36">
        <v>9.6558282002466612E-3</v>
      </c>
      <c r="H28" s="36">
        <v>0.12601672585634097</v>
      </c>
      <c r="I28" s="24"/>
      <c r="J28" s="41">
        <v>9.1411677666865324E-3</v>
      </c>
      <c r="K28" s="41">
        <v>0.28000000000000003</v>
      </c>
      <c r="L28" s="38"/>
      <c r="M28" s="38"/>
      <c r="N28" s="38"/>
      <c r="P28" s="2"/>
    </row>
    <row r="29" spans="1:16" x14ac:dyDescent="0.25">
      <c r="A29" s="23" t="s">
        <v>95</v>
      </c>
      <c r="B29" s="40" t="s">
        <v>90</v>
      </c>
      <c r="C29" s="37">
        <v>1.9317744529503474E-2</v>
      </c>
      <c r="D29" s="37">
        <v>1.6269232557058524</v>
      </c>
      <c r="E29" s="48"/>
      <c r="F29" s="15"/>
      <c r="G29" s="36">
        <v>2.0506332008392889E-2</v>
      </c>
      <c r="H29" s="36">
        <v>1.51</v>
      </c>
      <c r="I29" s="24"/>
      <c r="J29" s="41">
        <v>1.5624819150889814E-2</v>
      </c>
      <c r="K29" s="41">
        <v>0.17</v>
      </c>
      <c r="L29" s="38"/>
      <c r="M29" s="38"/>
      <c r="N29" s="38"/>
      <c r="P29" s="2"/>
    </row>
    <row r="30" spans="1:16" x14ac:dyDescent="0.25">
      <c r="A30" s="23" t="s">
        <v>96</v>
      </c>
      <c r="B30" s="40" t="s">
        <v>90</v>
      </c>
      <c r="C30" s="37">
        <v>3.8669340864390458E-2</v>
      </c>
      <c r="D30" s="37">
        <v>0.49504950495049505</v>
      </c>
      <c r="E30" s="48"/>
      <c r="F30" s="15"/>
      <c r="G30" s="36">
        <v>4.0757667309822034E-2</v>
      </c>
      <c r="H30" s="36">
        <v>4.651162790697675E-2</v>
      </c>
      <c r="I30" s="24"/>
      <c r="J30" s="41">
        <v>2.2631339664379597E-2</v>
      </c>
      <c r="K30" s="41"/>
      <c r="L30" s="38"/>
      <c r="M30" s="38"/>
      <c r="N30" s="38"/>
      <c r="P30" s="2"/>
    </row>
    <row r="31" spans="1:16" x14ac:dyDescent="0.25">
      <c r="A31" s="23" t="s">
        <v>97</v>
      </c>
      <c r="B31" s="40" t="s">
        <v>90</v>
      </c>
      <c r="C31" s="37">
        <v>5.8801049115372265E-3</v>
      </c>
      <c r="D31" s="37">
        <v>5.7639566773578767E-2</v>
      </c>
      <c r="E31" s="47"/>
      <c r="F31" s="15"/>
      <c r="G31" s="36">
        <v>6.0547404278273294E-3</v>
      </c>
      <c r="H31" s="36">
        <v>5.6936647955092227E-2</v>
      </c>
      <c r="I31" s="18"/>
      <c r="J31" s="41">
        <v>2.0873628160133811E-2</v>
      </c>
      <c r="K31" s="41"/>
      <c r="L31" s="38"/>
      <c r="M31" s="38"/>
      <c r="N31" s="38"/>
      <c r="P31" s="2"/>
    </row>
    <row r="32" spans="1:16" x14ac:dyDescent="0.25">
      <c r="A32" s="23" t="s">
        <v>98</v>
      </c>
      <c r="B32" s="40" t="s">
        <v>90</v>
      </c>
      <c r="C32" s="37">
        <v>4.5404477402367406E-4</v>
      </c>
      <c r="D32" s="37">
        <v>9.2967043183191572E-2</v>
      </c>
      <c r="E32" s="48"/>
      <c r="F32" s="15"/>
      <c r="G32" s="36">
        <v>4.6032755596374202E-4</v>
      </c>
      <c r="H32" s="36">
        <v>3.436819796082026E-2</v>
      </c>
      <c r="I32" s="49"/>
      <c r="J32" s="41">
        <v>1.2820909332017193E-4</v>
      </c>
      <c r="K32" s="41">
        <v>8.9999999999999993E-3</v>
      </c>
      <c r="L32" s="38"/>
      <c r="M32" s="38"/>
      <c r="N32" s="38"/>
      <c r="P32" s="2"/>
    </row>
    <row r="33" spans="1:18" x14ac:dyDescent="0.25">
      <c r="A33" s="50" t="s">
        <v>99</v>
      </c>
      <c r="B33" s="40" t="s">
        <v>90</v>
      </c>
      <c r="C33" s="37">
        <v>7.4280305764492095E-5</v>
      </c>
      <c r="D33" s="37">
        <v>3.4862641193696842E-4</v>
      </c>
      <c r="E33" s="17"/>
      <c r="F33" s="15"/>
      <c r="G33" s="36">
        <v>7.5990542562486823E-5</v>
      </c>
      <c r="H33" s="36">
        <v>2.9999999999999997E-4</v>
      </c>
      <c r="I33" s="39"/>
      <c r="J33" s="41"/>
      <c r="K33" s="41"/>
      <c r="L33" s="38"/>
      <c r="M33" s="38"/>
      <c r="N33" s="38"/>
      <c r="P33" s="2"/>
    </row>
    <row r="34" spans="1:18" x14ac:dyDescent="0.25">
      <c r="A34" s="18" t="s">
        <v>100</v>
      </c>
      <c r="B34" s="15"/>
      <c r="C34" s="16"/>
      <c r="D34" s="17"/>
      <c r="E34" s="17"/>
      <c r="F34" s="15"/>
      <c r="G34" s="36"/>
      <c r="H34" s="36"/>
      <c r="I34" s="39"/>
      <c r="J34" s="41"/>
      <c r="K34" s="41"/>
      <c r="L34" s="38"/>
      <c r="M34" s="38"/>
      <c r="N34" s="38"/>
      <c r="P34" s="2"/>
    </row>
    <row r="35" spans="1:18" x14ac:dyDescent="0.25">
      <c r="A35" s="42" t="s">
        <v>101</v>
      </c>
      <c r="B35" s="15" t="s">
        <v>90</v>
      </c>
      <c r="C35" s="16"/>
      <c r="D35" s="17"/>
      <c r="E35" s="17"/>
      <c r="F35" s="15"/>
      <c r="G35" s="21"/>
      <c r="H35" s="36"/>
      <c r="I35" s="15"/>
      <c r="J35" s="15"/>
      <c r="K35" s="41"/>
      <c r="L35" s="38"/>
      <c r="M35" s="38"/>
      <c r="N35" s="38"/>
      <c r="P35" s="2"/>
    </row>
    <row r="36" spans="1:18" x14ac:dyDescent="0.25">
      <c r="A36" s="23" t="s">
        <v>99</v>
      </c>
      <c r="B36" s="15" t="s">
        <v>90</v>
      </c>
      <c r="C36" s="16"/>
      <c r="D36" s="17"/>
      <c r="E36" s="17"/>
      <c r="F36" s="15"/>
      <c r="G36" s="21"/>
      <c r="H36" s="51"/>
      <c r="I36" s="49"/>
      <c r="J36" s="41"/>
      <c r="K36" s="41"/>
      <c r="L36" s="38"/>
      <c r="M36" s="38"/>
      <c r="N36" s="38"/>
      <c r="P36" s="2"/>
    </row>
    <row r="37" spans="1:18" x14ac:dyDescent="0.25">
      <c r="A37" s="23" t="s">
        <v>102</v>
      </c>
      <c r="B37" s="15" t="s">
        <v>90</v>
      </c>
      <c r="C37" s="16"/>
      <c r="D37" s="17"/>
      <c r="E37" s="17"/>
      <c r="F37" s="15"/>
      <c r="G37" s="21"/>
      <c r="H37" s="52"/>
      <c r="I37" s="39"/>
      <c r="J37" s="41"/>
      <c r="K37" s="41"/>
      <c r="L37" s="38"/>
      <c r="M37" s="38"/>
      <c r="N37" s="38"/>
      <c r="P37" s="2"/>
    </row>
    <row r="38" spans="1:18" x14ac:dyDescent="0.25">
      <c r="A38" s="23" t="s">
        <v>103</v>
      </c>
      <c r="B38" s="15" t="s">
        <v>90</v>
      </c>
      <c r="C38" s="16"/>
      <c r="D38" s="17"/>
      <c r="E38" s="17"/>
      <c r="F38" s="15"/>
      <c r="G38" s="21"/>
      <c r="H38" s="52"/>
      <c r="I38" s="39"/>
      <c r="J38" s="41"/>
      <c r="K38" s="41"/>
      <c r="L38" s="38"/>
      <c r="M38" s="38"/>
      <c r="N38" s="38"/>
      <c r="P38" s="2"/>
    </row>
    <row r="39" spans="1:18" x14ac:dyDescent="0.25">
      <c r="A39" s="11" t="s">
        <v>104</v>
      </c>
      <c r="B39" s="15"/>
      <c r="C39" s="53"/>
      <c r="D39" s="15"/>
      <c r="E39" s="15"/>
      <c r="F39" s="15"/>
      <c r="G39" s="15"/>
      <c r="H39" s="49"/>
      <c r="I39" s="39"/>
      <c r="J39" s="41"/>
      <c r="K39" s="41"/>
      <c r="L39" s="38"/>
      <c r="M39" s="38"/>
      <c r="N39" s="38"/>
    </row>
    <row r="40" spans="1:18" x14ac:dyDescent="0.25">
      <c r="A40" s="54"/>
      <c r="B40" s="15"/>
      <c r="C40" s="53"/>
      <c r="D40" s="15"/>
      <c r="E40" s="32"/>
      <c r="F40" s="15"/>
      <c r="G40" s="15"/>
      <c r="H40" s="18"/>
      <c r="I40" s="18"/>
      <c r="J40" s="41"/>
      <c r="K40" s="41"/>
      <c r="L40" s="38"/>
      <c r="M40" s="38"/>
      <c r="N40" s="38"/>
    </row>
    <row r="41" spans="1:18" x14ac:dyDescent="0.25">
      <c r="A41" s="54"/>
      <c r="B41" s="55"/>
      <c r="C41" s="56"/>
      <c r="D41" s="55"/>
      <c r="E41" s="57"/>
      <c r="F41" s="15"/>
      <c r="G41" s="15"/>
      <c r="H41" s="39"/>
      <c r="I41" s="15"/>
      <c r="J41" s="15"/>
      <c r="K41" s="41"/>
      <c r="L41" s="38"/>
      <c r="M41" s="38"/>
      <c r="N41" s="38"/>
    </row>
    <row r="42" spans="1:18" ht="20.25" thickBot="1" x14ac:dyDescent="0.35">
      <c r="A42" s="343" t="s">
        <v>479</v>
      </c>
      <c r="B42" s="343"/>
      <c r="C42" s="343"/>
      <c r="D42" s="343"/>
      <c r="E42" s="343"/>
      <c r="F42" s="343"/>
      <c r="G42" s="343"/>
      <c r="H42" s="343"/>
      <c r="I42" s="343"/>
      <c r="J42" s="343"/>
      <c r="K42" s="343"/>
      <c r="L42" s="343"/>
      <c r="M42" s="343"/>
    </row>
    <row r="43" spans="1:18" ht="15.75" thickTop="1" x14ac:dyDescent="0.25"/>
    <row r="44" spans="1:18" x14ac:dyDescent="0.25">
      <c r="P44" s="161" t="s">
        <v>135</v>
      </c>
    </row>
    <row r="45" spans="1:18" x14ac:dyDescent="0.25">
      <c r="A45" s="161" t="s">
        <v>60</v>
      </c>
      <c r="B45" s="161" t="s">
        <v>110</v>
      </c>
      <c r="P45" s="58" t="s">
        <v>136</v>
      </c>
      <c r="Q45" s="58"/>
      <c r="R45" s="58"/>
    </row>
    <row r="46" spans="1:18" x14ac:dyDescent="0.25">
      <c r="A46" s="161" t="s">
        <v>62</v>
      </c>
      <c r="B46" s="161" t="s">
        <v>111</v>
      </c>
      <c r="C46" s="161" t="s">
        <v>112</v>
      </c>
      <c r="D46" s="161" t="s">
        <v>112</v>
      </c>
      <c r="E46" s="161" t="s">
        <v>112</v>
      </c>
      <c r="F46" s="161" t="s">
        <v>112</v>
      </c>
      <c r="G46" s="161" t="s">
        <v>112</v>
      </c>
      <c r="H46" s="161" t="s">
        <v>112</v>
      </c>
      <c r="I46" s="161" t="s">
        <v>112</v>
      </c>
      <c r="P46" s="59">
        <f>(C64+C66*23+C67*296)+(E64+E66*23+E67*296)</f>
        <v>77.455756001842872</v>
      </c>
      <c r="Q46" s="58"/>
      <c r="R46" s="58"/>
    </row>
    <row r="47" spans="1:18" x14ac:dyDescent="0.25">
      <c r="A47" s="161" t="s">
        <v>67</v>
      </c>
      <c r="B47" s="161" t="s">
        <v>113</v>
      </c>
      <c r="C47" s="161" t="s">
        <v>114</v>
      </c>
      <c r="D47" s="161" t="s">
        <v>115</v>
      </c>
      <c r="E47" s="161" t="s">
        <v>116</v>
      </c>
      <c r="F47" s="161" t="s">
        <v>117</v>
      </c>
      <c r="G47" s="161" t="s">
        <v>118</v>
      </c>
      <c r="H47" s="161" t="s">
        <v>119</v>
      </c>
      <c r="I47" s="161" t="s">
        <v>120</v>
      </c>
      <c r="P47" s="58" t="s">
        <v>137</v>
      </c>
      <c r="Q47" s="58"/>
      <c r="R47" s="58"/>
    </row>
    <row r="48" spans="1:18" x14ac:dyDescent="0.25">
      <c r="A48" s="161" t="s">
        <v>121</v>
      </c>
      <c r="P48" s="272">
        <f>(C64+C66*23+C67*296)+(F64+F66*23+F67*296)</f>
        <v>77.281606001842874</v>
      </c>
      <c r="Q48" s="58"/>
      <c r="R48" s="58"/>
    </row>
    <row r="49" spans="1:18" x14ac:dyDescent="0.25">
      <c r="A49" s="161" t="s">
        <v>71</v>
      </c>
      <c r="B49" s="161" t="s">
        <v>8</v>
      </c>
      <c r="C49" s="161">
        <v>1.0995354136196569</v>
      </c>
      <c r="P49" s="58" t="s">
        <v>138</v>
      </c>
      <c r="Q49" s="58"/>
      <c r="R49" s="58"/>
    </row>
    <row r="50" spans="1:18" x14ac:dyDescent="0.25">
      <c r="A50" s="161" t="s">
        <v>122</v>
      </c>
      <c r="P50" s="272">
        <f>(C64+C66*23+C67*296)+(G64+G66*23+G67*296)</f>
        <v>77.333216001842857</v>
      </c>
      <c r="Q50" s="58"/>
      <c r="R50" s="58"/>
    </row>
    <row r="51" spans="1:18" x14ac:dyDescent="0.25">
      <c r="A51" s="161" t="s">
        <v>75</v>
      </c>
      <c r="B51" s="161" t="s">
        <v>8</v>
      </c>
      <c r="P51" s="58"/>
      <c r="Q51" s="58"/>
      <c r="R51" s="58"/>
    </row>
    <row r="52" spans="1:18" x14ac:dyDescent="0.25">
      <c r="A52" s="161" t="s">
        <v>77</v>
      </c>
      <c r="B52" s="161" t="s">
        <v>8</v>
      </c>
    </row>
    <row r="53" spans="1:18" x14ac:dyDescent="0.25">
      <c r="A53" s="161" t="s">
        <v>78</v>
      </c>
      <c r="B53" s="161" t="s">
        <v>8</v>
      </c>
    </row>
    <row r="54" spans="1:18" x14ac:dyDescent="0.25">
      <c r="A54" s="161" t="s">
        <v>79</v>
      </c>
      <c r="B54" s="161" t="s">
        <v>8</v>
      </c>
    </row>
    <row r="55" spans="1:18" x14ac:dyDescent="0.25">
      <c r="A55" s="161" t="s">
        <v>80</v>
      </c>
      <c r="B55" s="161" t="s">
        <v>8</v>
      </c>
    </row>
    <row r="56" spans="1:18" x14ac:dyDescent="0.25">
      <c r="A56" s="161" t="s">
        <v>81</v>
      </c>
      <c r="B56" s="161" t="s">
        <v>8</v>
      </c>
    </row>
    <row r="57" spans="1:18" x14ac:dyDescent="0.25">
      <c r="A57" s="161" t="s">
        <v>123</v>
      </c>
    </row>
    <row r="58" spans="1:18" x14ac:dyDescent="0.25">
      <c r="A58" s="161" t="s">
        <v>124</v>
      </c>
      <c r="B58" s="161" t="s">
        <v>8</v>
      </c>
    </row>
    <row r="59" spans="1:18" x14ac:dyDescent="0.25">
      <c r="A59" s="161" t="s">
        <v>84</v>
      </c>
      <c r="B59" s="161" t="s">
        <v>8</v>
      </c>
    </row>
    <row r="60" spans="1:18" x14ac:dyDescent="0.25">
      <c r="A60" s="161" t="s">
        <v>85</v>
      </c>
      <c r="B60" s="161" t="s">
        <v>8</v>
      </c>
    </row>
    <row r="61" spans="1:18" x14ac:dyDescent="0.25">
      <c r="A61" s="161" t="s">
        <v>125</v>
      </c>
      <c r="B61" s="161" t="s">
        <v>8</v>
      </c>
    </row>
    <row r="62" spans="1:18" x14ac:dyDescent="0.25">
      <c r="A62" s="161" t="s">
        <v>87</v>
      </c>
      <c r="B62" s="161" t="s">
        <v>8</v>
      </c>
    </row>
    <row r="63" spans="1:18" x14ac:dyDescent="0.25">
      <c r="A63" s="161" t="s">
        <v>88</v>
      </c>
    </row>
    <row r="64" spans="1:18" x14ac:dyDescent="0.25">
      <c r="A64" s="161" t="s">
        <v>89</v>
      </c>
      <c r="B64" s="161" t="s">
        <v>90</v>
      </c>
      <c r="C64" s="94">
        <v>6.3249014589198875</v>
      </c>
      <c r="D64" s="94">
        <v>69.580752495520869</v>
      </c>
      <c r="E64" s="94">
        <v>69.580752495520869</v>
      </c>
      <c r="F64" s="94">
        <v>69.580752495520869</v>
      </c>
      <c r="G64" s="94">
        <v>69.580752495520869</v>
      </c>
      <c r="H64" s="94">
        <v>69.580752495520869</v>
      </c>
      <c r="I64" s="94">
        <v>69.580752495520869</v>
      </c>
      <c r="K64" s="161">
        <f>C64+D64+(C66*23+D66*23)+(C67*296+D67*296)</f>
        <v>77.570936001842838</v>
      </c>
      <c r="L64" s="161" t="s">
        <v>182</v>
      </c>
    </row>
    <row r="65" spans="1:9" x14ac:dyDescent="0.25">
      <c r="A65" s="161" t="s">
        <v>91</v>
      </c>
      <c r="B65" s="161" t="s">
        <v>90</v>
      </c>
      <c r="C65" s="94">
        <v>0.10008190427437932</v>
      </c>
      <c r="D65" s="94">
        <v>3.4192475044791411</v>
      </c>
      <c r="E65" s="94">
        <v>3.4192475044791411</v>
      </c>
      <c r="F65" s="94">
        <v>3.4192475044791411</v>
      </c>
      <c r="G65" s="94">
        <v>3.4192475044791411</v>
      </c>
      <c r="H65" s="94">
        <v>3.4192475044791411</v>
      </c>
      <c r="I65" s="94">
        <v>3.4192475044791411</v>
      </c>
    </row>
    <row r="66" spans="1:9" x14ac:dyDescent="0.25">
      <c r="A66" s="161" t="s">
        <v>92</v>
      </c>
      <c r="B66" s="161" t="s">
        <v>90</v>
      </c>
      <c r="C66" s="94">
        <v>3.278359355003839E-2</v>
      </c>
      <c r="D66" s="94">
        <v>5.4000000000000001E-4</v>
      </c>
      <c r="E66" s="94">
        <v>6.8000000000000005E-4</v>
      </c>
      <c r="F66" s="94">
        <v>8.3000000000000001E-4</v>
      </c>
      <c r="G66" s="94">
        <v>5.0000000000000001E-4</v>
      </c>
      <c r="H66" s="94">
        <v>7.1000000000000002E-4</v>
      </c>
      <c r="I66" s="94">
        <v>6.3000000000000003E-4</v>
      </c>
    </row>
    <row r="67" spans="1:9" x14ac:dyDescent="0.25">
      <c r="A67" s="161" t="s">
        <v>126</v>
      </c>
      <c r="B67" s="161" t="s">
        <v>90</v>
      </c>
      <c r="C67" s="94">
        <v>1.0366195802405942E-3</v>
      </c>
      <c r="D67" s="94">
        <v>2E-3</v>
      </c>
      <c r="E67" s="94">
        <v>1.6000000000000001E-3</v>
      </c>
      <c r="F67" s="94">
        <v>1E-3</v>
      </c>
      <c r="G67" s="94">
        <v>1.1999999999999999E-3</v>
      </c>
      <c r="H67" s="94">
        <v>8.7000000000000001E-4</v>
      </c>
      <c r="I67" s="94">
        <v>6.6000000000000003E-6</v>
      </c>
    </row>
    <row r="68" spans="1:9" x14ac:dyDescent="0.25">
      <c r="A68" s="161" t="s">
        <v>94</v>
      </c>
      <c r="B68" s="161" t="s">
        <v>90</v>
      </c>
      <c r="C68" s="94">
        <v>6.0051702073201955E-3</v>
      </c>
      <c r="D68" s="94">
        <v>0.13</v>
      </c>
      <c r="E68" s="94">
        <v>0.17</v>
      </c>
      <c r="F68" s="94">
        <v>0.15</v>
      </c>
      <c r="G68" s="94">
        <v>0.14000000000000001</v>
      </c>
      <c r="H68" s="94">
        <v>0.14000000000000001</v>
      </c>
      <c r="I68" s="94">
        <v>0.18</v>
      </c>
    </row>
    <row r="69" spans="1:9" x14ac:dyDescent="0.25">
      <c r="A69" s="161" t="s">
        <v>95</v>
      </c>
      <c r="B69" s="161" t="s">
        <v>90</v>
      </c>
      <c r="C69" s="94">
        <v>1.8373765037112876E-2</v>
      </c>
      <c r="D69" s="94">
        <v>0.22</v>
      </c>
      <c r="E69" s="94">
        <v>0.35</v>
      </c>
      <c r="F69" s="94">
        <v>0.68</v>
      </c>
      <c r="G69" s="94">
        <v>0.6</v>
      </c>
      <c r="H69" s="94">
        <v>0.67</v>
      </c>
      <c r="I69" s="94">
        <v>0.67</v>
      </c>
    </row>
    <row r="70" spans="1:9" x14ac:dyDescent="0.25">
      <c r="A70" s="161" t="s">
        <v>96</v>
      </c>
      <c r="B70" s="161" t="s">
        <v>90</v>
      </c>
      <c r="C70" s="94">
        <v>1.6793242897363708E-2</v>
      </c>
      <c r="D70" s="94">
        <v>9.2999999999999997E-5</v>
      </c>
      <c r="E70" s="94">
        <v>9.2999999999999997E-5</v>
      </c>
      <c r="F70" s="94">
        <v>9.2999999999999997E-5</v>
      </c>
      <c r="G70" s="94">
        <v>9.2999999999999997E-5</v>
      </c>
      <c r="H70" s="94">
        <v>9.2999999999999997E-5</v>
      </c>
      <c r="I70" s="94">
        <v>9.2999999999999997E-5</v>
      </c>
    </row>
    <row r="71" spans="1:9" x14ac:dyDescent="0.25">
      <c r="A71" s="161" t="s">
        <v>97</v>
      </c>
      <c r="B71" s="161" t="s">
        <v>90</v>
      </c>
      <c r="C71" s="94">
        <v>2.3682672126951628E-2</v>
      </c>
      <c r="D71" s="94">
        <v>2.1999999999999999E-2</v>
      </c>
      <c r="E71" s="94">
        <v>2.8000000000000001E-2</v>
      </c>
      <c r="F71" s="94">
        <v>3.4000000000000002E-2</v>
      </c>
      <c r="G71" s="94">
        <v>2.1000000000000001E-2</v>
      </c>
      <c r="H71" s="94">
        <v>0.03</v>
      </c>
      <c r="I71" s="94">
        <v>2.5999999999999999E-2</v>
      </c>
    </row>
    <row r="72" spans="1:9" x14ac:dyDescent="0.25">
      <c r="A72" s="161" t="s">
        <v>98</v>
      </c>
      <c r="B72" s="161" t="s">
        <v>90</v>
      </c>
      <c r="C72" s="94">
        <v>9.6753314563603797E-4</v>
      </c>
      <c r="D72" s="94">
        <v>1.6E-2</v>
      </c>
      <c r="E72" s="94">
        <v>3.4000000000000002E-2</v>
      </c>
      <c r="F72" s="94">
        <v>1.4999999999999999E-2</v>
      </c>
      <c r="G72" s="94">
        <v>1.2E-2</v>
      </c>
      <c r="H72" s="94">
        <v>1.2999999999999999E-2</v>
      </c>
      <c r="I72" s="94">
        <v>1.4E-2</v>
      </c>
    </row>
    <row r="73" spans="1:9" x14ac:dyDescent="0.25">
      <c r="A73" s="161" t="s">
        <v>99</v>
      </c>
      <c r="B73" s="161" t="s">
        <v>90</v>
      </c>
      <c r="C73" s="94">
        <v>2.8358075249552094E-4</v>
      </c>
      <c r="D73" s="94">
        <v>4.4999999999999999E-4</v>
      </c>
      <c r="E73" s="94">
        <v>3.6000000000000002E-4</v>
      </c>
      <c r="F73" s="94">
        <v>3.8000000000000002E-4</v>
      </c>
      <c r="G73" s="94">
        <v>2.1000000000000001E-4</v>
      </c>
      <c r="H73" s="94">
        <v>2.9E-4</v>
      </c>
      <c r="I73" s="94">
        <v>2.1000000000000001E-4</v>
      </c>
    </row>
    <row r="74" spans="1:9" x14ac:dyDescent="0.25">
      <c r="A74" s="161" t="s">
        <v>100</v>
      </c>
      <c r="B74" s="161" t="s">
        <v>90</v>
      </c>
      <c r="C74" s="94"/>
      <c r="D74" s="94"/>
      <c r="E74" s="94"/>
      <c r="F74" s="94"/>
      <c r="G74" s="94"/>
      <c r="H74" s="94"/>
      <c r="I74" s="94"/>
    </row>
    <row r="75" spans="1:9" x14ac:dyDescent="0.25">
      <c r="A75" s="161" t="s">
        <v>101</v>
      </c>
      <c r="B75" s="161" t="s">
        <v>90</v>
      </c>
      <c r="C75" s="94">
        <v>2.5830662912720762E-5</v>
      </c>
      <c r="D75" s="94"/>
      <c r="E75" s="94"/>
      <c r="F75" s="94"/>
      <c r="G75" s="94"/>
      <c r="H75" s="94"/>
      <c r="I75" s="94"/>
    </row>
    <row r="76" spans="1:9" x14ac:dyDescent="0.25">
      <c r="A76" s="161" t="s">
        <v>99</v>
      </c>
      <c r="B76" s="161" t="s">
        <v>90</v>
      </c>
      <c r="C76" s="95">
        <v>2.5550694092244697E-2</v>
      </c>
    </row>
    <row r="77" spans="1:9" x14ac:dyDescent="0.25">
      <c r="A77" s="161" t="s">
        <v>102</v>
      </c>
      <c r="B77" s="161" t="s">
        <v>90</v>
      </c>
      <c r="C77" s="95">
        <v>2.4210289224468902E-5</v>
      </c>
    </row>
    <row r="78" spans="1:9" x14ac:dyDescent="0.25">
      <c r="A78" s="161" t="s">
        <v>103</v>
      </c>
      <c r="C78" s="95">
        <v>3.0415203480931664E-7</v>
      </c>
    </row>
    <row r="79" spans="1:9" x14ac:dyDescent="0.25">
      <c r="A79" s="161" t="s">
        <v>104</v>
      </c>
      <c r="C79" s="95"/>
    </row>
    <row r="80" spans="1:9" x14ac:dyDescent="0.25">
      <c r="A80" s="161" t="s">
        <v>127</v>
      </c>
      <c r="B80" s="161" t="s">
        <v>128</v>
      </c>
      <c r="C80" s="95">
        <v>7.3857635063219869</v>
      </c>
      <c r="D80" s="95">
        <v>70.185172495520874</v>
      </c>
      <c r="E80" s="95">
        <v>70.069992495520879</v>
      </c>
      <c r="F80" s="95">
        <v>69.895842495520881</v>
      </c>
      <c r="G80" s="95">
        <v>69.947452495520864</v>
      </c>
      <c r="H80" s="95">
        <v>69.854602495520865</v>
      </c>
      <c r="I80" s="95">
        <v>69.597196095520857</v>
      </c>
    </row>
    <row r="81" spans="1:13" x14ac:dyDescent="0.25">
      <c r="A81" s="161" t="s">
        <v>129</v>
      </c>
      <c r="B81" s="161" t="s">
        <v>130</v>
      </c>
      <c r="C81" s="95">
        <v>2.4907299365241877E-3</v>
      </c>
      <c r="D81" s="95">
        <v>2.8757500000000002E-2</v>
      </c>
      <c r="E81" s="95">
        <v>3.4000000000000002E-2</v>
      </c>
      <c r="F81" s="95">
        <v>2.4750000000000001E-2</v>
      </c>
      <c r="G81" s="95">
        <v>2.24E-2</v>
      </c>
      <c r="H81" s="95">
        <v>2.2749999999999999E-2</v>
      </c>
      <c r="I81" s="95">
        <v>2.8299999999999999E-2</v>
      </c>
    </row>
    <row r="82" spans="1:13" x14ac:dyDescent="0.25">
      <c r="A82" s="161" t="s">
        <v>131</v>
      </c>
      <c r="B82" s="161" t="s">
        <v>132</v>
      </c>
      <c r="C82" s="95">
        <v>7.7690183316762751E-2</v>
      </c>
      <c r="D82" s="95">
        <v>0.15409300000000001</v>
      </c>
      <c r="E82" s="95">
        <v>0.46899999999999997</v>
      </c>
      <c r="F82" s="95">
        <v>0.78500000000000003</v>
      </c>
      <c r="G82" s="95">
        <v>0.69799999999999995</v>
      </c>
      <c r="H82" s="95">
        <v>0.76800000000000002</v>
      </c>
      <c r="I82" s="95">
        <v>0.79600000000000004</v>
      </c>
    </row>
    <row r="83" spans="1:13" x14ac:dyDescent="0.25">
      <c r="A83" s="161" t="s">
        <v>133</v>
      </c>
      <c r="B83" s="161" t="s">
        <v>134</v>
      </c>
      <c r="C83" s="95">
        <v>1.0146144077015614E-2</v>
      </c>
      <c r="D83" s="161">
        <v>1.3414000000000001E-2</v>
      </c>
      <c r="E83" s="161" t="e">
        <v>#REF!</v>
      </c>
      <c r="F83" s="161" t="e">
        <v>#REF!</v>
      </c>
      <c r="G83" s="161" t="e">
        <v>#REF!</v>
      </c>
      <c r="H83" s="161" t="e">
        <v>#REF!</v>
      </c>
      <c r="I83" s="161" t="e">
        <v>#REF!</v>
      </c>
    </row>
    <row r="84" spans="1:13" ht="20.25" thickBot="1" x14ac:dyDescent="0.35">
      <c r="A84" s="343" t="s">
        <v>480</v>
      </c>
      <c r="B84" s="343"/>
      <c r="C84" s="343"/>
      <c r="D84" s="343"/>
      <c r="E84" s="343"/>
      <c r="F84" s="343"/>
      <c r="G84" s="343"/>
      <c r="H84" s="343"/>
      <c r="I84" s="343"/>
      <c r="J84" s="343"/>
      <c r="K84" s="343"/>
      <c r="L84" s="343"/>
      <c r="M84" s="343"/>
    </row>
    <row r="85" spans="1:13" ht="15.75" thickTop="1" x14ac:dyDescent="0.25">
      <c r="A85" s="161" t="s">
        <v>60</v>
      </c>
      <c r="B85" s="161" t="s">
        <v>481</v>
      </c>
      <c r="C85" s="161" t="s">
        <v>482</v>
      </c>
    </row>
    <row r="86" spans="1:13" x14ac:dyDescent="0.25">
      <c r="A86" s="161" t="s">
        <v>62</v>
      </c>
      <c r="B86" s="161" t="s">
        <v>111</v>
      </c>
      <c r="C86" s="161" t="s">
        <v>483</v>
      </c>
      <c r="D86" s="161" t="s">
        <v>484</v>
      </c>
    </row>
    <row r="87" spans="1:13" x14ac:dyDescent="0.25">
      <c r="A87" s="161" t="s">
        <v>67</v>
      </c>
      <c r="B87" s="161" t="s">
        <v>113</v>
      </c>
      <c r="C87" s="161" t="s">
        <v>485</v>
      </c>
      <c r="D87" s="161" t="s">
        <v>485</v>
      </c>
      <c r="E87" s="161" t="s">
        <v>486</v>
      </c>
    </row>
    <row r="88" spans="1:13" x14ac:dyDescent="0.25">
      <c r="A88" s="161" t="s">
        <v>121</v>
      </c>
    </row>
    <row r="89" spans="1:13" x14ac:dyDescent="0.25">
      <c r="A89" s="161" t="s">
        <v>71</v>
      </c>
      <c r="B89" s="161" t="s">
        <v>8</v>
      </c>
      <c r="C89" s="161">
        <v>1.27</v>
      </c>
      <c r="D89" s="161">
        <v>1.1599999999999999</v>
      </c>
    </row>
    <row r="90" spans="1:13" x14ac:dyDescent="0.25">
      <c r="A90" s="161" t="s">
        <v>122</v>
      </c>
    </row>
    <row r="91" spans="1:13" x14ac:dyDescent="0.25">
      <c r="A91" s="161" t="s">
        <v>75</v>
      </c>
    </row>
    <row r="92" spans="1:13" x14ac:dyDescent="0.25">
      <c r="A92" s="161" t="s">
        <v>77</v>
      </c>
    </row>
    <row r="93" spans="1:13" x14ac:dyDescent="0.25">
      <c r="A93" s="161" t="s">
        <v>78</v>
      </c>
    </row>
    <row r="94" spans="1:13" x14ac:dyDescent="0.25">
      <c r="A94" s="161" t="s">
        <v>79</v>
      </c>
    </row>
    <row r="95" spans="1:13" x14ac:dyDescent="0.25">
      <c r="A95" s="161" t="s">
        <v>80</v>
      </c>
    </row>
    <row r="96" spans="1:13" x14ac:dyDescent="0.25">
      <c r="A96" s="161" t="s">
        <v>81</v>
      </c>
    </row>
    <row r="97" spans="1:4" x14ac:dyDescent="0.25">
      <c r="A97" s="161" t="s">
        <v>123</v>
      </c>
    </row>
    <row r="98" spans="1:4" x14ac:dyDescent="0.25">
      <c r="A98" s="161" t="s">
        <v>124</v>
      </c>
    </row>
    <row r="99" spans="1:4" x14ac:dyDescent="0.25">
      <c r="A99" s="161" t="s">
        <v>84</v>
      </c>
    </row>
    <row r="100" spans="1:4" x14ac:dyDescent="0.25">
      <c r="A100" s="161" t="s">
        <v>85</v>
      </c>
    </row>
    <row r="101" spans="1:4" x14ac:dyDescent="0.25">
      <c r="A101" s="161" t="s">
        <v>86</v>
      </c>
    </row>
    <row r="102" spans="1:4" x14ac:dyDescent="0.25">
      <c r="A102" s="161" t="s">
        <v>87</v>
      </c>
    </row>
    <row r="103" spans="1:4" x14ac:dyDescent="0.25">
      <c r="A103" s="161" t="s">
        <v>88</v>
      </c>
    </row>
    <row r="104" spans="1:4" x14ac:dyDescent="0.25">
      <c r="A104" s="161" t="s">
        <v>89</v>
      </c>
      <c r="B104" s="161" t="s">
        <v>90</v>
      </c>
      <c r="C104" s="161">
        <v>17.2</v>
      </c>
      <c r="D104" s="161">
        <v>10.7</v>
      </c>
    </row>
    <row r="105" spans="1:4" x14ac:dyDescent="0.25">
      <c r="A105" s="161" t="s">
        <v>487</v>
      </c>
      <c r="B105" s="161" t="s">
        <v>90</v>
      </c>
      <c r="C105" s="161">
        <v>0</v>
      </c>
      <c r="D105" s="161">
        <v>2.5</v>
      </c>
    </row>
    <row r="106" spans="1:4" x14ac:dyDescent="0.25">
      <c r="A106" s="161" t="s">
        <v>92</v>
      </c>
      <c r="B106" s="161" t="s">
        <v>90</v>
      </c>
      <c r="C106" s="161">
        <v>1.21E-2</v>
      </c>
      <c r="D106" s="161">
        <v>6.9000000000000008E-3</v>
      </c>
    </row>
    <row r="107" spans="1:4" x14ac:dyDescent="0.25">
      <c r="A107" s="161" t="s">
        <v>126</v>
      </c>
      <c r="B107" s="161" t="s">
        <v>90</v>
      </c>
      <c r="C107" s="161">
        <v>2.1000000000000001E-2</v>
      </c>
      <c r="D107" s="161">
        <v>1.2E-2</v>
      </c>
    </row>
    <row r="108" spans="1:4" x14ac:dyDescent="0.25">
      <c r="A108" s="161" t="s">
        <v>94</v>
      </c>
      <c r="B108" s="161" t="s">
        <v>90</v>
      </c>
      <c r="C108" s="161">
        <v>9.6999999999999986E-3</v>
      </c>
      <c r="D108" s="161">
        <v>6.4000000000000003E-3</v>
      </c>
    </row>
    <row r="109" spans="1:4" x14ac:dyDescent="0.25">
      <c r="A109" s="161" t="s">
        <v>95</v>
      </c>
      <c r="B109" s="161" t="s">
        <v>90</v>
      </c>
      <c r="C109" s="161">
        <v>7.1599999999999997E-2</v>
      </c>
      <c r="D109" s="161">
        <v>4.9399999999999999E-2</v>
      </c>
    </row>
    <row r="110" spans="1:4" x14ac:dyDescent="0.25">
      <c r="A110" s="161" t="s">
        <v>96</v>
      </c>
      <c r="B110" s="161" t="s">
        <v>90</v>
      </c>
      <c r="C110" s="161">
        <v>2.7399999999999997E-2</v>
      </c>
      <c r="D110" s="161">
        <v>1.5800000000000002E-2</v>
      </c>
    </row>
    <row r="111" spans="1:4" x14ac:dyDescent="0.25">
      <c r="A111" s="161" t="s">
        <v>488</v>
      </c>
      <c r="B111" s="161" t="s">
        <v>90</v>
      </c>
      <c r="C111" s="161">
        <v>3.3999999999999998E-3</v>
      </c>
      <c r="D111" s="161">
        <v>2.2000000000000001E-3</v>
      </c>
    </row>
    <row r="112" spans="1:4" x14ac:dyDescent="0.25">
      <c r="A112" s="161" t="s">
        <v>98</v>
      </c>
      <c r="B112" s="161" t="s">
        <v>90</v>
      </c>
      <c r="C112" s="161">
        <v>5.7999999999999996E-3</v>
      </c>
      <c r="D112" s="161">
        <v>3.3999999999999998E-3</v>
      </c>
    </row>
    <row r="113" spans="1:13" x14ac:dyDescent="0.25">
      <c r="A113" s="161" t="s">
        <v>99</v>
      </c>
      <c r="B113" s="161" t="s">
        <v>90</v>
      </c>
      <c r="C113" s="161">
        <v>0</v>
      </c>
      <c r="D113" s="161">
        <v>0</v>
      </c>
    </row>
    <row r="114" spans="1:13" x14ac:dyDescent="0.25">
      <c r="A114" s="161" t="s">
        <v>100</v>
      </c>
      <c r="B114" s="161" t="s">
        <v>90</v>
      </c>
      <c r="C114" s="161">
        <v>0</v>
      </c>
      <c r="D114" s="161">
        <v>0</v>
      </c>
    </row>
    <row r="115" spans="1:13" x14ac:dyDescent="0.25">
      <c r="A115" s="161" t="s">
        <v>101</v>
      </c>
      <c r="B115" s="161" t="s">
        <v>90</v>
      </c>
      <c r="C115" s="161">
        <v>0.54549999999999998</v>
      </c>
      <c r="D115" s="161">
        <v>0.31110000000000004</v>
      </c>
    </row>
    <row r="116" spans="1:13" x14ac:dyDescent="0.25">
      <c r="A116" s="161" t="s">
        <v>99</v>
      </c>
      <c r="B116" s="161" t="s">
        <v>90</v>
      </c>
      <c r="C116" s="161">
        <v>0</v>
      </c>
      <c r="D116" s="161">
        <v>0</v>
      </c>
    </row>
    <row r="117" spans="1:13" x14ac:dyDescent="0.25">
      <c r="A117" s="161" t="s">
        <v>102</v>
      </c>
      <c r="B117" s="161" t="s">
        <v>90</v>
      </c>
      <c r="C117" s="161">
        <v>0</v>
      </c>
      <c r="D117" s="161">
        <v>0</v>
      </c>
    </row>
    <row r="118" spans="1:13" x14ac:dyDescent="0.25">
      <c r="A118" s="161" t="s">
        <v>103</v>
      </c>
      <c r="C118" s="161">
        <v>0</v>
      </c>
      <c r="D118" s="161">
        <v>0</v>
      </c>
    </row>
    <row r="119" spans="1:13" x14ac:dyDescent="0.25">
      <c r="A119" s="161" t="s">
        <v>104</v>
      </c>
    </row>
    <row r="120" spans="1:13" x14ac:dyDescent="0.25">
      <c r="A120" s="161" t="s">
        <v>127</v>
      </c>
      <c r="B120" s="161" t="s">
        <v>128</v>
      </c>
      <c r="C120" s="161">
        <v>23.694300000000002</v>
      </c>
      <c r="D120" s="161">
        <v>14.410699999999999</v>
      </c>
    </row>
    <row r="121" spans="1:13" x14ac:dyDescent="0.25">
      <c r="A121" s="161" t="s">
        <v>129</v>
      </c>
      <c r="B121" s="161" t="s">
        <v>130</v>
      </c>
      <c r="C121" s="161">
        <v>6.3857999999999998E-2</v>
      </c>
      <c r="D121" s="161">
        <v>3.7532000000000003E-2</v>
      </c>
    </row>
    <row r="122" spans="1:13" x14ac:dyDescent="0.25">
      <c r="A122" s="161" t="s">
        <v>131</v>
      </c>
      <c r="B122" s="161" t="s">
        <v>132</v>
      </c>
      <c r="C122" s="161">
        <v>7.7519999999999992E-2</v>
      </c>
      <c r="D122" s="161">
        <v>5.0380000000000001E-2</v>
      </c>
    </row>
    <row r="123" spans="1:13" x14ac:dyDescent="0.25">
      <c r="A123" s="161" t="s">
        <v>133</v>
      </c>
      <c r="B123" s="161" t="s">
        <v>134</v>
      </c>
      <c r="C123" s="161">
        <v>1.8230999999999998E-3</v>
      </c>
      <c r="D123" s="161">
        <v>1.1771000000000002E-3</v>
      </c>
    </row>
    <row r="126" spans="1:13" x14ac:dyDescent="0.25">
      <c r="A126" s="161" t="s">
        <v>489</v>
      </c>
      <c r="B126" s="161" t="s">
        <v>90</v>
      </c>
      <c r="C126" s="161">
        <v>3.4599999999999999E-2</v>
      </c>
      <c r="D126" s="161">
        <v>1.7600000000000001E-2</v>
      </c>
    </row>
    <row r="127" spans="1:13" ht="20.25" thickBot="1" x14ac:dyDescent="0.35">
      <c r="A127" s="343" t="s">
        <v>490</v>
      </c>
      <c r="B127" s="343"/>
      <c r="C127" s="343"/>
      <c r="D127" s="343"/>
      <c r="E127" s="343"/>
      <c r="F127" s="343"/>
      <c r="G127" s="343"/>
      <c r="H127" s="343"/>
      <c r="I127" s="343"/>
      <c r="J127" s="343"/>
      <c r="K127" s="343"/>
      <c r="L127" s="343"/>
      <c r="M127" s="343"/>
    </row>
    <row r="128" spans="1:13" ht="15.75" thickTop="1" x14ac:dyDescent="0.25">
      <c r="A128" s="161" t="s">
        <v>60</v>
      </c>
      <c r="B128" s="161" t="s">
        <v>110</v>
      </c>
    </row>
    <row r="129" spans="1:23" x14ac:dyDescent="0.25">
      <c r="A129" s="161" t="s">
        <v>62</v>
      </c>
      <c r="B129" s="161" t="s">
        <v>111</v>
      </c>
      <c r="C129" s="161" t="s">
        <v>491</v>
      </c>
      <c r="D129" s="161" t="s">
        <v>492</v>
      </c>
      <c r="E129" s="161" t="s">
        <v>493</v>
      </c>
      <c r="F129" s="161" t="s">
        <v>494</v>
      </c>
    </row>
    <row r="130" spans="1:23" x14ac:dyDescent="0.25">
      <c r="A130" s="161" t="s">
        <v>67</v>
      </c>
      <c r="B130" s="161" t="s">
        <v>113</v>
      </c>
      <c r="C130" s="161" t="s">
        <v>114</v>
      </c>
      <c r="D130" s="161" t="s">
        <v>114</v>
      </c>
      <c r="E130" s="161" t="s">
        <v>495</v>
      </c>
      <c r="F130" s="161" t="s">
        <v>495</v>
      </c>
      <c r="Q130" s="161" t="s">
        <v>419</v>
      </c>
      <c r="R130" s="161" t="s">
        <v>77</v>
      </c>
      <c r="S130" s="161" t="s">
        <v>496</v>
      </c>
    </row>
    <row r="131" spans="1:23" x14ac:dyDescent="0.25">
      <c r="A131" s="161" t="s">
        <v>121</v>
      </c>
      <c r="P131" s="161" t="s">
        <v>497</v>
      </c>
      <c r="Q131" s="161">
        <v>34.92</v>
      </c>
      <c r="R131" s="161">
        <v>39.770000000000003</v>
      </c>
      <c r="S131" s="161">
        <v>36.913746701846961</v>
      </c>
      <c r="U131" s="161" t="s">
        <v>498</v>
      </c>
      <c r="V131" s="161" t="s">
        <v>499</v>
      </c>
    </row>
    <row r="132" spans="1:23" x14ac:dyDescent="0.25">
      <c r="A132" s="161" t="s">
        <v>71</v>
      </c>
      <c r="B132" s="161" t="s">
        <v>8</v>
      </c>
      <c r="C132" s="161">
        <v>0.63937471309552052</v>
      </c>
      <c r="D132" s="161">
        <v>0.70880481858147704</v>
      </c>
      <c r="N132" s="161" t="s">
        <v>500</v>
      </c>
      <c r="Q132" s="161">
        <v>0.5889182058047493</v>
      </c>
      <c r="R132" s="161">
        <v>0.41108179419525059</v>
      </c>
      <c r="U132" s="161">
        <v>0.62</v>
      </c>
      <c r="V132" s="161">
        <v>0.38</v>
      </c>
    </row>
    <row r="133" spans="1:23" x14ac:dyDescent="0.25">
      <c r="A133" s="161" t="s">
        <v>122</v>
      </c>
    </row>
    <row r="134" spans="1:23" x14ac:dyDescent="0.25">
      <c r="A134" s="161" t="s">
        <v>75</v>
      </c>
      <c r="B134" s="161" t="s">
        <v>8</v>
      </c>
      <c r="K134" s="161" t="s">
        <v>501</v>
      </c>
    </row>
    <row r="135" spans="1:23" x14ac:dyDescent="0.25">
      <c r="A135" s="161" t="s">
        <v>77</v>
      </c>
      <c r="B135" s="161" t="s">
        <v>8</v>
      </c>
      <c r="K135" s="161" t="s">
        <v>502</v>
      </c>
    </row>
    <row r="136" spans="1:23" x14ac:dyDescent="0.25">
      <c r="A136" s="161" t="s">
        <v>503</v>
      </c>
      <c r="B136" s="161" t="s">
        <v>8</v>
      </c>
    </row>
    <row r="137" spans="1:23" x14ac:dyDescent="0.25">
      <c r="A137" s="161" t="s">
        <v>79</v>
      </c>
      <c r="B137" s="161" t="s">
        <v>8</v>
      </c>
    </row>
    <row r="138" spans="1:23" x14ac:dyDescent="0.25">
      <c r="A138" s="161" t="s">
        <v>80</v>
      </c>
      <c r="B138" s="161" t="s">
        <v>8</v>
      </c>
      <c r="K138" s="161" t="s">
        <v>504</v>
      </c>
    </row>
    <row r="139" spans="1:23" x14ac:dyDescent="0.25">
      <c r="A139" s="161" t="s">
        <v>81</v>
      </c>
      <c r="B139" s="161" t="s">
        <v>8</v>
      </c>
      <c r="L139" s="161" t="s">
        <v>505</v>
      </c>
      <c r="Q139" s="161" t="s">
        <v>419</v>
      </c>
      <c r="R139" s="161" t="s">
        <v>77</v>
      </c>
      <c r="S139" s="161" t="s">
        <v>506</v>
      </c>
      <c r="T139" s="161" t="s">
        <v>496</v>
      </c>
    </row>
    <row r="140" spans="1:23" x14ac:dyDescent="0.25">
      <c r="A140" s="161" t="s">
        <v>123</v>
      </c>
      <c r="J140" s="161" t="s">
        <v>507</v>
      </c>
      <c r="L140" s="161">
        <v>0.56999999999999995</v>
      </c>
      <c r="P140" s="161" t="s">
        <v>508</v>
      </c>
      <c r="Q140" s="161">
        <v>34.92</v>
      </c>
      <c r="R140" s="161">
        <v>39.770000000000003</v>
      </c>
      <c r="S140" s="161">
        <v>32.183999999999997</v>
      </c>
      <c r="T140" s="161">
        <v>31.974062074251279</v>
      </c>
      <c r="U140" s="161" t="s">
        <v>498</v>
      </c>
      <c r="V140" s="161" t="s">
        <v>499</v>
      </c>
      <c r="W140" s="161" t="s">
        <v>509</v>
      </c>
    </row>
    <row r="141" spans="1:23" x14ac:dyDescent="0.25">
      <c r="A141" s="161" t="s">
        <v>124</v>
      </c>
      <c r="B141" s="161" t="s">
        <v>8</v>
      </c>
      <c r="J141" s="161" t="s">
        <v>510</v>
      </c>
      <c r="L141" s="161">
        <v>0.153</v>
      </c>
      <c r="N141" s="161" t="s">
        <v>511</v>
      </c>
      <c r="Q141" s="161">
        <v>0.51011097359335744</v>
      </c>
      <c r="R141" s="161">
        <v>0.35607208640611604</v>
      </c>
      <c r="S141" s="161">
        <v>0.13381694000052666</v>
      </c>
      <c r="U141" s="161">
        <v>0.52700000000000002</v>
      </c>
      <c r="V141" s="161">
        <v>0.32300000000000001</v>
      </c>
      <c r="W141" s="161">
        <v>0.15</v>
      </c>
    </row>
    <row r="142" spans="1:23" x14ac:dyDescent="0.25">
      <c r="A142" s="161" t="s">
        <v>84</v>
      </c>
      <c r="B142" s="161" t="s">
        <v>8</v>
      </c>
      <c r="J142" s="161" t="s">
        <v>512</v>
      </c>
      <c r="L142" s="161">
        <v>0.13800000000000001</v>
      </c>
    </row>
    <row r="143" spans="1:23" x14ac:dyDescent="0.25">
      <c r="A143" s="161" t="s">
        <v>85</v>
      </c>
      <c r="B143" s="161" t="s">
        <v>8</v>
      </c>
      <c r="J143" s="161" t="s">
        <v>513</v>
      </c>
      <c r="L143" s="161">
        <v>3.4000000000000002E-2</v>
      </c>
    </row>
    <row r="144" spans="1:23" x14ac:dyDescent="0.25">
      <c r="A144" s="161" t="s">
        <v>86</v>
      </c>
      <c r="B144" s="161" t="s">
        <v>514</v>
      </c>
      <c r="J144" s="161" t="s">
        <v>349</v>
      </c>
      <c r="L144" s="161">
        <v>0.10499999999999998</v>
      </c>
    </row>
    <row r="145" spans="1:6" x14ac:dyDescent="0.25">
      <c r="A145" s="161" t="s">
        <v>87</v>
      </c>
      <c r="B145" s="161" t="s">
        <v>8</v>
      </c>
    </row>
    <row r="146" spans="1:6" x14ac:dyDescent="0.25">
      <c r="A146" s="161" t="s">
        <v>88</v>
      </c>
    </row>
    <row r="147" spans="1:6" x14ac:dyDescent="0.25">
      <c r="A147" s="161" t="s">
        <v>89</v>
      </c>
      <c r="B147" s="161" t="s">
        <v>90</v>
      </c>
      <c r="C147" s="161">
        <v>5.0410842019834412</v>
      </c>
      <c r="D147" s="161">
        <v>5.1905681230216283</v>
      </c>
      <c r="E147" s="161">
        <v>23.563208443271765</v>
      </c>
      <c r="F147" s="161">
        <v>29.726944177801684</v>
      </c>
    </row>
    <row r="148" spans="1:6" x14ac:dyDescent="0.25">
      <c r="A148" s="161" t="s">
        <v>91</v>
      </c>
      <c r="B148" s="161" t="s">
        <v>90</v>
      </c>
      <c r="C148" s="161">
        <v>-0.29681477572559367</v>
      </c>
      <c r="D148" s="161">
        <v>-0.23634113319225797</v>
      </c>
      <c r="E148" s="161">
        <v>2</v>
      </c>
      <c r="F148" s="161">
        <v>3</v>
      </c>
    </row>
    <row r="149" spans="1:6" x14ac:dyDescent="0.25">
      <c r="A149" s="161" t="s">
        <v>92</v>
      </c>
      <c r="B149" s="161" t="s">
        <v>90</v>
      </c>
      <c r="C149" s="161">
        <v>0.17491489946319713</v>
      </c>
      <c r="D149" s="161">
        <v>0.15368677197743563</v>
      </c>
      <c r="E149" s="161">
        <v>5.170000000000001E-3</v>
      </c>
      <c r="F149" s="161">
        <v>6.619237460205706E-3</v>
      </c>
    </row>
    <row r="150" spans="1:6" x14ac:dyDescent="0.25">
      <c r="A150" s="161" t="s">
        <v>126</v>
      </c>
      <c r="B150" s="161" t="s">
        <v>90</v>
      </c>
      <c r="C150" s="161">
        <v>7.420369403783202E-4</v>
      </c>
      <c r="D150" s="161">
        <v>8.1762003567175659E-4</v>
      </c>
      <c r="E150" s="161">
        <v>0</v>
      </c>
      <c r="F150" s="161">
        <v>1.6058032800063198E-4</v>
      </c>
    </row>
    <row r="151" spans="1:6" x14ac:dyDescent="0.25">
      <c r="A151" s="161" t="s">
        <v>94</v>
      </c>
      <c r="B151" s="161" t="s">
        <v>90</v>
      </c>
      <c r="C151" s="161">
        <v>9.5711464143390032E-3</v>
      </c>
      <c r="D151" s="161">
        <v>8.8677719458787174E-3</v>
      </c>
      <c r="E151" s="161">
        <v>0.12100000000000001</v>
      </c>
      <c r="F151" s="161">
        <v>0.30553356026072631</v>
      </c>
    </row>
    <row r="152" spans="1:6" x14ac:dyDescent="0.25">
      <c r="A152" s="161" t="s">
        <v>95</v>
      </c>
      <c r="B152" s="161" t="s">
        <v>90</v>
      </c>
      <c r="C152" s="161">
        <v>2.690266295332544E-2</v>
      </c>
      <c r="D152" s="161">
        <v>2.5909828226553525E-2</v>
      </c>
      <c r="E152" s="161">
        <v>2.0900000000000002E-2</v>
      </c>
      <c r="F152" s="161">
        <v>3.8175766954067998E-2</v>
      </c>
    </row>
    <row r="153" spans="1:6" x14ac:dyDescent="0.25">
      <c r="A153" s="161" t="s">
        <v>96</v>
      </c>
      <c r="B153" s="161" t="s">
        <v>90</v>
      </c>
      <c r="C153" s="161">
        <v>1.0475175343826767E-2</v>
      </c>
      <c r="D153" s="161">
        <v>1.1056634282186267E-2</v>
      </c>
      <c r="E153" s="161">
        <v>5.0600000000000005E-4</v>
      </c>
      <c r="F153" s="161">
        <v>4.9582991255996015E-4</v>
      </c>
    </row>
    <row r="154" spans="1:6" x14ac:dyDescent="0.25">
      <c r="A154" s="161" t="s">
        <v>97</v>
      </c>
      <c r="B154" s="161" t="s">
        <v>90</v>
      </c>
      <c r="C154" s="161">
        <v>1.686129453116186E-3</v>
      </c>
      <c r="D154" s="161">
        <v>4.9428549442498545E-3</v>
      </c>
      <c r="E154" s="161">
        <v>5.6100000000000013E-3</v>
      </c>
      <c r="F154" s="161">
        <v>4.3666199566749775E-2</v>
      </c>
    </row>
    <row r="155" spans="1:6" x14ac:dyDescent="0.25">
      <c r="A155" s="161" t="s">
        <v>98</v>
      </c>
      <c r="B155" s="161" t="s">
        <v>90</v>
      </c>
      <c r="C155" s="161">
        <v>3.3501300915294331E-3</v>
      </c>
      <c r="D155" s="161">
        <v>2.9945929075727747E-3</v>
      </c>
      <c r="E155" s="161">
        <v>1.32E-3</v>
      </c>
      <c r="F155" s="161">
        <v>1.4377589072004638E-3</v>
      </c>
    </row>
    <row r="156" spans="1:6" x14ac:dyDescent="0.25">
      <c r="A156" s="161" t="s">
        <v>99</v>
      </c>
      <c r="B156" s="161" t="s">
        <v>90</v>
      </c>
      <c r="C156" s="161">
        <v>1.6676044036029477E-8</v>
      </c>
      <c r="D156" s="161">
        <v>1.842265701745762E-6</v>
      </c>
    </row>
    <row r="157" spans="1:6" x14ac:dyDescent="0.25">
      <c r="A157" s="161" t="s">
        <v>100</v>
      </c>
    </row>
    <row r="158" spans="1:6" x14ac:dyDescent="0.25">
      <c r="A158" s="161" t="s">
        <v>101</v>
      </c>
      <c r="B158" s="161" t="s">
        <v>90</v>
      </c>
      <c r="C158" s="161">
        <v>-4.1224257730288406E-2</v>
      </c>
      <c r="D158" s="161">
        <v>-3.5477211781424906E-2</v>
      </c>
    </row>
    <row r="159" spans="1:6" x14ac:dyDescent="0.25">
      <c r="A159" s="161" t="s">
        <v>99</v>
      </c>
      <c r="B159" s="161" t="s">
        <v>90</v>
      </c>
      <c r="C159" s="161">
        <v>0</v>
      </c>
      <c r="D159" s="161">
        <v>2.4071139068189039E-9</v>
      </c>
    </row>
    <row r="160" spans="1:6" x14ac:dyDescent="0.25">
      <c r="A160" s="161" t="s">
        <v>102</v>
      </c>
      <c r="B160" s="161" t="s">
        <v>90</v>
      </c>
      <c r="C160" s="161">
        <v>2.0529283049767993E-6</v>
      </c>
      <c r="D160" s="161">
        <v>5.429094003731771E-6</v>
      </c>
    </row>
    <row r="161" spans="1:13" x14ac:dyDescent="0.25">
      <c r="A161" s="161" t="s">
        <v>103</v>
      </c>
      <c r="C161" s="161">
        <v>1.6991904776928924E-8</v>
      </c>
      <c r="D161" s="161">
        <v>6.1311466813687638E-8</v>
      </c>
    </row>
    <row r="162" spans="1:13" x14ac:dyDescent="0.25">
      <c r="A162" s="161" t="s">
        <v>104</v>
      </c>
    </row>
    <row r="163" spans="1:13" x14ac:dyDescent="0.25">
      <c r="A163" s="161" t="s">
        <v>127</v>
      </c>
      <c r="B163" s="161" t="s">
        <v>128</v>
      </c>
      <c r="C163" s="161">
        <v>9.2837698239889583</v>
      </c>
      <c r="D163" s="161">
        <v>8.967379409061488</v>
      </c>
      <c r="E163" s="161">
        <v>23.682118443271765</v>
      </c>
      <c r="F163" s="161">
        <v>29.926718416474603</v>
      </c>
    </row>
    <row r="164" spans="1:13" x14ac:dyDescent="0.25">
      <c r="A164" s="161" t="s">
        <v>129</v>
      </c>
      <c r="B164" s="161" t="s">
        <v>130</v>
      </c>
      <c r="C164" s="161">
        <v>-6.2505676057634336E-4</v>
      </c>
      <c r="D164" s="161">
        <v>-1.7873740422810714E-4</v>
      </c>
      <c r="E164" s="161">
        <v>2.7170000000000002E-3</v>
      </c>
      <c r="F164" s="161">
        <v>4.9628497040288396E-3</v>
      </c>
    </row>
    <row r="165" spans="1:13" x14ac:dyDescent="0.25">
      <c r="A165" s="161" t="s">
        <v>131</v>
      </c>
      <c r="B165" s="161" t="s">
        <v>132</v>
      </c>
      <c r="C165" s="161">
        <v>2.9307039411154576E-2</v>
      </c>
      <c r="D165" s="161">
        <v>2.9193518566147877E-2</v>
      </c>
      <c r="E165" s="161">
        <v>1.5136E-2</v>
      </c>
      <c r="F165" s="161">
        <v>2.7218866780407559E-2</v>
      </c>
    </row>
    <row r="166" spans="1:13" x14ac:dyDescent="0.25">
      <c r="A166" s="161" t="s">
        <v>133</v>
      </c>
      <c r="B166" s="161" t="s">
        <v>134</v>
      </c>
      <c r="C166" s="161">
        <v>2.2388553518100261E-3</v>
      </c>
      <c r="D166" s="161">
        <v>3.435575182695107E-3</v>
      </c>
      <c r="E166" s="161">
        <v>6.2643900000000016E-3</v>
      </c>
      <c r="F166" s="161">
        <v>2.8163212408599585E-2</v>
      </c>
    </row>
    <row r="167" spans="1:13" ht="20.25" thickBot="1" x14ac:dyDescent="0.35">
      <c r="A167" s="343" t="s">
        <v>515</v>
      </c>
      <c r="B167" s="343"/>
      <c r="C167" s="343"/>
      <c r="D167" s="343"/>
      <c r="E167" s="343"/>
      <c r="F167" s="343"/>
      <c r="G167" s="343"/>
      <c r="H167" s="343"/>
      <c r="I167" s="343"/>
      <c r="J167" s="343"/>
      <c r="K167" s="343"/>
      <c r="L167" s="343"/>
      <c r="M167" s="343"/>
    </row>
    <row r="168" spans="1:13" ht="15.75" thickTop="1" x14ac:dyDescent="0.25">
      <c r="A168" s="161" t="s">
        <v>60</v>
      </c>
      <c r="B168" s="161" t="s">
        <v>110</v>
      </c>
    </row>
    <row r="169" spans="1:13" x14ac:dyDescent="0.25">
      <c r="A169" s="161" t="s">
        <v>62</v>
      </c>
      <c r="B169" s="161" t="s">
        <v>111</v>
      </c>
      <c r="C169" s="161" t="s">
        <v>516</v>
      </c>
      <c r="D169" s="161" t="s">
        <v>517</v>
      </c>
      <c r="E169" s="161" t="s">
        <v>516</v>
      </c>
      <c r="F169" s="161" t="s">
        <v>518</v>
      </c>
    </row>
    <row r="170" spans="1:13" x14ac:dyDescent="0.25">
      <c r="A170" s="161" t="s">
        <v>67</v>
      </c>
      <c r="B170" s="161" t="s">
        <v>113</v>
      </c>
      <c r="C170" s="161" t="s">
        <v>114</v>
      </c>
      <c r="D170" s="161" t="s">
        <v>114</v>
      </c>
      <c r="E170" s="161" t="s">
        <v>519</v>
      </c>
      <c r="F170" s="161" t="s">
        <v>519</v>
      </c>
    </row>
    <row r="171" spans="1:13" x14ac:dyDescent="0.25">
      <c r="A171" s="161" t="s">
        <v>121</v>
      </c>
    </row>
    <row r="172" spans="1:13" x14ac:dyDescent="0.25">
      <c r="A172" s="161" t="s">
        <v>71</v>
      </c>
      <c r="B172" s="161" t="s">
        <v>8</v>
      </c>
      <c r="C172" s="161">
        <v>1.0910577469100011</v>
      </c>
      <c r="D172" s="161">
        <v>1.3069167062134932</v>
      </c>
    </row>
    <row r="173" spans="1:13" x14ac:dyDescent="0.25">
      <c r="A173" s="161" t="s">
        <v>122</v>
      </c>
      <c r="C173" s="161">
        <v>0</v>
      </c>
    </row>
    <row r="174" spans="1:13" x14ac:dyDescent="0.25">
      <c r="A174" s="161" t="s">
        <v>75</v>
      </c>
      <c r="C174" s="161">
        <v>1.05174509869288</v>
      </c>
    </row>
    <row r="175" spans="1:13" x14ac:dyDescent="0.25">
      <c r="A175" s="161" t="s">
        <v>77</v>
      </c>
      <c r="C175" s="161">
        <v>2.7254864547218399E-2</v>
      </c>
    </row>
    <row r="176" spans="1:13" x14ac:dyDescent="0.25">
      <c r="A176" s="161" t="s">
        <v>78</v>
      </c>
      <c r="C176" s="161">
        <v>1.1804371584814501E-3</v>
      </c>
    </row>
    <row r="177" spans="1:6" x14ac:dyDescent="0.25">
      <c r="A177" s="161" t="s">
        <v>79</v>
      </c>
      <c r="C177" s="161">
        <v>3.3151501245494799E-4</v>
      </c>
    </row>
    <row r="178" spans="1:6" x14ac:dyDescent="0.25">
      <c r="A178" s="161" t="s">
        <v>80</v>
      </c>
      <c r="C178" s="161" t="s">
        <v>400</v>
      </c>
    </row>
    <row r="179" spans="1:6" x14ac:dyDescent="0.25">
      <c r="A179" s="161" t="s">
        <v>81</v>
      </c>
      <c r="C179" s="161">
        <v>6.6384079171907502E-3</v>
      </c>
    </row>
    <row r="180" spans="1:6" x14ac:dyDescent="0.25">
      <c r="A180" s="161" t="s">
        <v>123</v>
      </c>
    </row>
    <row r="181" spans="1:6" x14ac:dyDescent="0.25">
      <c r="A181" s="161" t="s">
        <v>124</v>
      </c>
      <c r="C181" s="161">
        <v>3.8519445999874802E-3</v>
      </c>
    </row>
    <row r="182" spans="1:6" x14ac:dyDescent="0.25">
      <c r="A182" s="161" t="s">
        <v>84</v>
      </c>
      <c r="C182" s="161">
        <v>1.23225297785868E-7</v>
      </c>
    </row>
    <row r="183" spans="1:6" x14ac:dyDescent="0.25">
      <c r="A183" s="161" t="s">
        <v>85</v>
      </c>
      <c r="C183" s="161">
        <v>1.93195526692209E-5</v>
      </c>
    </row>
    <row r="184" spans="1:6" x14ac:dyDescent="0.25">
      <c r="A184" s="161" t="s">
        <v>86</v>
      </c>
      <c r="C184" s="161">
        <v>4.0199999999999996E-6</v>
      </c>
    </row>
    <row r="185" spans="1:6" x14ac:dyDescent="0.25">
      <c r="A185" s="161" t="s">
        <v>87</v>
      </c>
      <c r="C185" s="161">
        <v>3.2016203821113599E-5</v>
      </c>
    </row>
    <row r="186" spans="1:6" x14ac:dyDescent="0.25">
      <c r="A186" s="161" t="s">
        <v>88</v>
      </c>
    </row>
    <row r="187" spans="1:6" x14ac:dyDescent="0.25">
      <c r="A187" s="161" t="s">
        <v>89</v>
      </c>
      <c r="B187" s="161" t="s">
        <v>90</v>
      </c>
      <c r="C187" s="161">
        <v>5.8231882725155701</v>
      </c>
      <c r="D187" s="161">
        <v>10.153013455461656</v>
      </c>
      <c r="E187" s="161">
        <v>72</v>
      </c>
      <c r="F187" s="161">
        <v>18.211241507103146</v>
      </c>
    </row>
    <row r="188" spans="1:6" x14ac:dyDescent="0.25">
      <c r="A188" s="161" t="s">
        <v>91</v>
      </c>
      <c r="B188" s="161" t="s">
        <v>90</v>
      </c>
      <c r="C188" s="161">
        <v>0.104</v>
      </c>
      <c r="D188" s="161">
        <v>0.28777825818406422</v>
      </c>
      <c r="F188" s="161">
        <v>50.478758492896851</v>
      </c>
    </row>
    <row r="189" spans="1:6" x14ac:dyDescent="0.25">
      <c r="A189" s="161" t="s">
        <v>92</v>
      </c>
      <c r="B189" s="161" t="s">
        <v>90</v>
      </c>
      <c r="C189" s="161">
        <v>3.3792241532631301E-2</v>
      </c>
      <c r="D189" s="161">
        <v>2.3749998707605014E-2</v>
      </c>
      <c r="E189" s="161">
        <v>1.6E-2</v>
      </c>
      <c r="F189" s="161" t="s">
        <v>400</v>
      </c>
    </row>
    <row r="190" spans="1:6" x14ac:dyDescent="0.25">
      <c r="A190" s="161" t="s">
        <v>126</v>
      </c>
      <c r="B190" s="161" t="s">
        <v>90</v>
      </c>
      <c r="C190" s="161">
        <v>5.5153469589846905E-5</v>
      </c>
      <c r="D190" s="161">
        <v>1.9475568362279854E-2</v>
      </c>
      <c r="E190" s="161">
        <v>1.1999999999999999E-3</v>
      </c>
      <c r="F190" s="161" t="s">
        <v>400</v>
      </c>
    </row>
    <row r="191" spans="1:6" x14ac:dyDescent="0.25">
      <c r="A191" s="161" t="s">
        <v>94</v>
      </c>
      <c r="B191" s="161" t="s">
        <v>90</v>
      </c>
      <c r="C191" s="161">
        <v>4.6166758509906302E-3</v>
      </c>
      <c r="D191" s="161">
        <v>9.558178232382232E-3</v>
      </c>
      <c r="E191" s="161">
        <v>1.5</v>
      </c>
      <c r="F191" s="161" t="s">
        <v>400</v>
      </c>
    </row>
    <row r="192" spans="1:6" x14ac:dyDescent="0.25">
      <c r="A192" s="161" t="s">
        <v>95</v>
      </c>
      <c r="B192" s="161" t="s">
        <v>90</v>
      </c>
      <c r="C192" s="161">
        <v>1.8895399704666502E-2</v>
      </c>
      <c r="D192" s="161">
        <v>4.8064307632616342E-2</v>
      </c>
      <c r="E192" s="161">
        <v>0.15</v>
      </c>
      <c r="F192" s="161">
        <v>0.85</v>
      </c>
    </row>
    <row r="193" spans="1:6" x14ac:dyDescent="0.25">
      <c r="A193" s="161" t="s">
        <v>96</v>
      </c>
      <c r="B193" s="161" t="s">
        <v>90</v>
      </c>
      <c r="C193" s="161">
        <v>1.4126202372754301E-2</v>
      </c>
      <c r="D193" s="161">
        <v>1.6769863020477872E-2</v>
      </c>
      <c r="E193" s="161">
        <v>4.2999999999999999E-4</v>
      </c>
      <c r="F193" s="161">
        <v>5.3999999999999999E-2</v>
      </c>
    </row>
    <row r="194" spans="1:6" x14ac:dyDescent="0.25">
      <c r="A194" s="161" t="s">
        <v>97</v>
      </c>
      <c r="B194" s="161" t="s">
        <v>90</v>
      </c>
      <c r="C194" s="161">
        <v>6.3022488731343902E-3</v>
      </c>
      <c r="D194" s="161">
        <v>2.1033001845549074E-2</v>
      </c>
      <c r="E194" s="161">
        <v>0.28999999999999998</v>
      </c>
      <c r="F194" s="161">
        <v>3.4000000000000002E-4</v>
      </c>
    </row>
    <row r="195" spans="1:6" x14ac:dyDescent="0.25">
      <c r="A195" s="161" t="s">
        <v>98</v>
      </c>
      <c r="B195" s="161" t="s">
        <v>90</v>
      </c>
      <c r="C195" s="161">
        <v>8.49519137436217E-4</v>
      </c>
      <c r="D195" s="161">
        <v>3.242970724688632E-3</v>
      </c>
      <c r="F195" s="161">
        <v>0.2</v>
      </c>
    </row>
    <row r="196" spans="1:6" x14ac:dyDescent="0.25">
      <c r="A196" s="161" t="s">
        <v>99</v>
      </c>
      <c r="B196" s="161" t="s">
        <v>90</v>
      </c>
      <c r="C196" s="161">
        <v>1.25077036163316E-5</v>
      </c>
      <c r="D196" s="161">
        <v>3.2559187622278744E-6</v>
      </c>
      <c r="E196" s="161">
        <v>2.9000000000000001E-2</v>
      </c>
      <c r="F196" s="161">
        <v>1.4E-3</v>
      </c>
    </row>
    <row r="197" spans="1:6" x14ac:dyDescent="0.25">
      <c r="A197" s="161" t="s">
        <v>100</v>
      </c>
      <c r="B197" s="161" t="s">
        <v>90</v>
      </c>
    </row>
    <row r="198" spans="1:6" x14ac:dyDescent="0.25">
      <c r="A198" s="161" t="s">
        <v>101</v>
      </c>
      <c r="B198" s="161" t="s">
        <v>90</v>
      </c>
      <c r="C198" s="161">
        <v>2.707628033389294E-5</v>
      </c>
      <c r="D198" s="161">
        <v>-0.13297091554243562</v>
      </c>
    </row>
    <row r="199" spans="1:6" x14ac:dyDescent="0.25">
      <c r="A199" s="161" t="s">
        <v>99</v>
      </c>
      <c r="B199" s="161" t="s">
        <v>90</v>
      </c>
      <c r="C199" s="161">
        <v>1.6595024736426454E-8</v>
      </c>
      <c r="D199" s="161">
        <v>4.1974444901585125E-9</v>
      </c>
    </row>
    <row r="200" spans="1:6" x14ac:dyDescent="0.25">
      <c r="A200" s="161" t="s">
        <v>102</v>
      </c>
      <c r="B200" s="161" t="s">
        <v>90</v>
      </c>
      <c r="C200" s="161">
        <v>2.5435068839698647E-5</v>
      </c>
      <c r="D200" s="161">
        <v>6.3983225684894909E-6</v>
      </c>
    </row>
    <row r="201" spans="1:6" x14ac:dyDescent="0.25">
      <c r="A201" s="161" t="s">
        <v>103</v>
      </c>
      <c r="C201" s="161">
        <v>3.1954736916418999E-7</v>
      </c>
      <c r="D201" s="161">
        <v>8.4276996291483763E-8</v>
      </c>
    </row>
    <row r="202" spans="1:6" x14ac:dyDescent="0.25">
      <c r="A202" s="161" t="s">
        <v>104</v>
      </c>
    </row>
    <row r="203" spans="1:6" x14ac:dyDescent="0.25">
      <c r="A203" s="161" t="s">
        <v>127</v>
      </c>
      <c r="B203" s="161" t="s">
        <v>128</v>
      </c>
      <c r="C203" s="161">
        <v>6.6167352547646852</v>
      </c>
      <c r="D203" s="161">
        <v>16.464031660971408</v>
      </c>
      <c r="E203" s="161">
        <v>72.723199999999991</v>
      </c>
    </row>
    <row r="204" spans="1:6" x14ac:dyDescent="0.25">
      <c r="A204" s="161" t="s">
        <v>129</v>
      </c>
      <c r="B204" s="161" t="s">
        <v>130</v>
      </c>
      <c r="C204" s="161">
        <v>2.463806833274915E-3</v>
      </c>
      <c r="D204" s="161">
        <v>-7.0475077134403673E-3</v>
      </c>
      <c r="E204" s="161">
        <v>2.9649999999999999E-2</v>
      </c>
      <c r="F204" s="161">
        <v>0.11099000000000001</v>
      </c>
    </row>
    <row r="205" spans="1:6" x14ac:dyDescent="0.25">
      <c r="A205" s="161" t="s">
        <v>131</v>
      </c>
      <c r="B205" s="161" t="s">
        <v>132</v>
      </c>
      <c r="C205" s="161">
        <v>2.7353013364667354E-2</v>
      </c>
      <c r="D205" s="161">
        <v>5.0414886254504951E-2</v>
      </c>
      <c r="E205" s="161">
        <v>0.10543</v>
      </c>
      <c r="F205" s="161">
        <v>0.64900000000000002</v>
      </c>
    </row>
    <row r="206" spans="1:6" x14ac:dyDescent="0.25">
      <c r="A206" s="161" t="s">
        <v>133</v>
      </c>
      <c r="B206" s="161" t="s">
        <v>134</v>
      </c>
      <c r="C206" s="161">
        <v>2.795064228235273E-3</v>
      </c>
      <c r="D206" s="161">
        <v>9.2760514571028022E-3</v>
      </c>
      <c r="E206" s="161">
        <v>0.16991200000000001</v>
      </c>
    </row>
  </sheetData>
  <sheetProtection password="EA8D" sheet="1" objects="1" scenarios="1"/>
  <mergeCells count="7">
    <mergeCell ref="A167:M167"/>
    <mergeCell ref="A2:M2"/>
    <mergeCell ref="C4:E4"/>
    <mergeCell ref="G4:H4"/>
    <mergeCell ref="A42:M42"/>
    <mergeCell ref="A84:M84"/>
    <mergeCell ref="A127:M127"/>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2"/>
  <sheetViews>
    <sheetView zoomScale="80" zoomScaleNormal="80" workbookViewId="0">
      <selection activeCell="C9" sqref="C9"/>
    </sheetView>
  </sheetViews>
  <sheetFormatPr defaultRowHeight="15" x14ac:dyDescent="0.25"/>
  <cols>
    <col min="2" max="2" width="24" customWidth="1"/>
    <col min="3" max="3" width="15.140625" customWidth="1"/>
    <col min="4" max="4" width="49.85546875" customWidth="1"/>
    <col min="5" max="5" width="15.7109375" customWidth="1"/>
    <col min="10" max="10" width="23.5703125" customWidth="1"/>
    <col min="11" max="11" width="18.140625" bestFit="1" customWidth="1"/>
    <col min="12" max="12" width="16" customWidth="1"/>
    <col min="13" max="13" width="13.5703125" customWidth="1"/>
    <col min="14" max="14" width="11.42578125" customWidth="1"/>
  </cols>
  <sheetData>
    <row r="1" spans="1:14" x14ac:dyDescent="0.25">
      <c r="B1" s="4" t="s">
        <v>175</v>
      </c>
      <c r="C1" s="68" t="s">
        <v>176</v>
      </c>
    </row>
    <row r="2" spans="1:14" ht="18.75" x14ac:dyDescent="0.3">
      <c r="B2" s="66" t="s">
        <v>408</v>
      </c>
    </row>
    <row r="3" spans="1:14" ht="18" thickBot="1" x14ac:dyDescent="0.35">
      <c r="B3" s="60" t="s">
        <v>148</v>
      </c>
      <c r="C3" s="60" t="s">
        <v>149</v>
      </c>
      <c r="D3" s="60" t="s">
        <v>150</v>
      </c>
    </row>
    <row r="4" spans="1:14" ht="15.75" thickTop="1" x14ac:dyDescent="0.25">
      <c r="B4" s="61" t="s">
        <v>151</v>
      </c>
      <c r="C4" s="61">
        <f>273+50</f>
        <v>323</v>
      </c>
      <c r="D4" s="61" t="s">
        <v>659</v>
      </c>
      <c r="E4" s="4">
        <v>20</v>
      </c>
      <c r="F4" s="4">
        <v>-10</v>
      </c>
    </row>
    <row r="5" spans="1:14" x14ac:dyDescent="0.25">
      <c r="B5" s="61" t="s">
        <v>152</v>
      </c>
      <c r="C5" s="61">
        <f>273+4</f>
        <v>277</v>
      </c>
      <c r="D5" s="61" t="s">
        <v>199</v>
      </c>
      <c r="E5" s="271">
        <v>293</v>
      </c>
      <c r="F5" s="271">
        <v>263</v>
      </c>
    </row>
    <row r="6" spans="1:14" x14ac:dyDescent="0.25">
      <c r="B6" s="61" t="s">
        <v>153</v>
      </c>
      <c r="C6" s="61">
        <v>0.3</v>
      </c>
      <c r="D6" s="61" t="s">
        <v>178</v>
      </c>
      <c r="E6" s="271" t="s">
        <v>658</v>
      </c>
      <c r="F6" s="271">
        <v>0.55000000000000004</v>
      </c>
    </row>
    <row r="7" spans="1:14" x14ac:dyDescent="0.25">
      <c r="B7" s="61" t="s">
        <v>156</v>
      </c>
      <c r="C7" s="61">
        <v>4</v>
      </c>
      <c r="D7" s="61" t="s">
        <v>157</v>
      </c>
    </row>
    <row r="8" spans="1:14" x14ac:dyDescent="0.25">
      <c r="B8" s="61" t="s">
        <v>158</v>
      </c>
      <c r="C8" s="69">
        <f xml:space="preserve"> IF(Växthusgasberäkning!$D$23= "Eget värmevärde",Växthusgasberäkning!$G$23,VLOOKUP(Växthusgasberäkning!$D$23,Indata!$1:$1048576,4,FALSE))</f>
        <v>38000</v>
      </c>
      <c r="D8" s="61" t="s">
        <v>159</v>
      </c>
      <c r="N8">
        <v>6926</v>
      </c>
    </row>
    <row r="9" spans="1:14" ht="18" x14ac:dyDescent="0.35">
      <c r="B9" s="61" t="s">
        <v>174</v>
      </c>
      <c r="C9" s="69">
        <f xml:space="preserve"> VLOOKUP(B2,'Indata old'!$A$1:$R$97,6,FALSE)</f>
        <v>970</v>
      </c>
      <c r="D9" s="61" t="s">
        <v>160</v>
      </c>
      <c r="N9">
        <v>9103</v>
      </c>
    </row>
    <row r="10" spans="1:14" x14ac:dyDescent="0.25">
      <c r="B10" s="61" t="s">
        <v>161</v>
      </c>
      <c r="C10" s="67">
        <f>VLOOKUP(G36,'Indata Fjärrvärme'!$A$2:$C$7,2,FALSE)</f>
        <v>96.235294117647058</v>
      </c>
      <c r="D10" s="61" t="s">
        <v>177</v>
      </c>
      <c r="N10">
        <v>9979</v>
      </c>
    </row>
    <row r="11" spans="1:14" x14ac:dyDescent="0.25">
      <c r="A11" s="61" t="s">
        <v>211</v>
      </c>
      <c r="B11" s="61" t="s">
        <v>154</v>
      </c>
      <c r="C11" s="67">
        <v>8</v>
      </c>
      <c r="D11" s="61"/>
      <c r="N11">
        <v>10008</v>
      </c>
    </row>
    <row r="12" spans="1:14" x14ac:dyDescent="0.25">
      <c r="B12" s="61" t="s">
        <v>155</v>
      </c>
      <c r="C12" s="67">
        <v>10</v>
      </c>
      <c r="D12" s="61"/>
      <c r="N12">
        <v>16499</v>
      </c>
    </row>
    <row r="13" spans="1:14" x14ac:dyDescent="0.25">
      <c r="A13" s="61" t="s">
        <v>212</v>
      </c>
      <c r="B13" s="61" t="s">
        <v>154</v>
      </c>
      <c r="C13" s="67">
        <v>19</v>
      </c>
      <c r="D13" s="61"/>
      <c r="N13">
        <v>9788</v>
      </c>
    </row>
    <row r="14" spans="1:14" x14ac:dyDescent="0.25">
      <c r="B14" s="61" t="s">
        <v>155</v>
      </c>
      <c r="C14" s="67">
        <v>26.5</v>
      </c>
      <c r="D14" s="61"/>
    </row>
    <row r="15" spans="1:14" x14ac:dyDescent="0.25">
      <c r="A15" s="61" t="s">
        <v>315</v>
      </c>
      <c r="B15" s="61" t="s">
        <v>154</v>
      </c>
      <c r="C15" s="67">
        <v>12</v>
      </c>
      <c r="D15" s="61"/>
    </row>
    <row r="16" spans="1:14" x14ac:dyDescent="0.25">
      <c r="B16" s="61" t="s">
        <v>155</v>
      </c>
      <c r="C16" s="67">
        <v>20</v>
      </c>
      <c r="D16" s="61"/>
      <c r="N16">
        <v>8170</v>
      </c>
    </row>
    <row r="17" spans="2:14" ht="18" thickBot="1" x14ac:dyDescent="0.35">
      <c r="B17" s="60" t="s">
        <v>148</v>
      </c>
      <c r="C17" s="60" t="s">
        <v>162</v>
      </c>
      <c r="D17" s="60" t="s">
        <v>150</v>
      </c>
      <c r="N17">
        <v>5754</v>
      </c>
    </row>
    <row r="18" spans="2:14" ht="18.75" thickTop="1" x14ac:dyDescent="0.35">
      <c r="B18" s="62" t="s">
        <v>316</v>
      </c>
      <c r="C18" s="93">
        <f>2*PI()*C11*C12+2*PI()*C11^2</f>
        <v>904.77868423386042</v>
      </c>
      <c r="D18" s="62" t="s">
        <v>163</v>
      </c>
      <c r="N18">
        <v>30178</v>
      </c>
    </row>
    <row r="19" spans="2:14" ht="18" x14ac:dyDescent="0.35">
      <c r="B19" s="62" t="s">
        <v>317</v>
      </c>
      <c r="C19" s="93">
        <f>2*PI()*C13*C14+2*PI()*C13^2</f>
        <v>5431.8136980567524</v>
      </c>
      <c r="D19" s="62"/>
    </row>
    <row r="20" spans="2:14" ht="18" x14ac:dyDescent="0.35">
      <c r="B20" s="62" t="s">
        <v>318</v>
      </c>
      <c r="C20" s="93">
        <f>2*PI()*C15*C16+2*PI()*C15^2</f>
        <v>2412.7431579569611</v>
      </c>
      <c r="D20" s="62"/>
    </row>
    <row r="21" spans="2:14" ht="18" x14ac:dyDescent="0.35">
      <c r="B21" s="62" t="s">
        <v>319</v>
      </c>
      <c r="C21" s="93">
        <f>PI()*C11^2*C12</f>
        <v>2010.6192982974676</v>
      </c>
      <c r="D21" s="62" t="s">
        <v>164</v>
      </c>
    </row>
    <row r="22" spans="2:14" ht="18" x14ac:dyDescent="0.35">
      <c r="B22" s="62" t="s">
        <v>320</v>
      </c>
      <c r="C22" s="93">
        <f>PI()*C13^2*C14</f>
        <v>30054.046120566753</v>
      </c>
      <c r="D22" s="62" t="s">
        <v>164</v>
      </c>
    </row>
    <row r="23" spans="2:14" ht="18" x14ac:dyDescent="0.35">
      <c r="B23" s="62" t="s">
        <v>321</v>
      </c>
      <c r="C23" s="93">
        <f>PI()*C15^2*C16</f>
        <v>9047.7868423386044</v>
      </c>
      <c r="D23" s="62" t="s">
        <v>164</v>
      </c>
      <c r="N23">
        <v>11419</v>
      </c>
    </row>
    <row r="24" spans="2:14" x14ac:dyDescent="0.25">
      <c r="B24" s="62" t="s">
        <v>165</v>
      </c>
      <c r="C24" s="93">
        <f>C7*30*24</f>
        <v>2880</v>
      </c>
      <c r="D24" s="62" t="s">
        <v>166</v>
      </c>
      <c r="N24">
        <v>2065</v>
      </c>
    </row>
    <row r="25" spans="2:14" x14ac:dyDescent="0.25">
      <c r="B25" s="62" t="s">
        <v>322</v>
      </c>
      <c r="C25" s="93">
        <f>((C21*$C$9)*$C$8/1000)/2</f>
        <v>37055713.667622328</v>
      </c>
      <c r="D25" s="62" t="s">
        <v>326</v>
      </c>
      <c r="N25">
        <v>6100</v>
      </c>
    </row>
    <row r="26" spans="2:14" x14ac:dyDescent="0.25">
      <c r="B26" s="62" t="s">
        <v>323</v>
      </c>
      <c r="C26" s="93">
        <f>((C22*$C$9)*$C$8/1000)/2</f>
        <v>553896070.00204527</v>
      </c>
      <c r="D26" s="62" t="s">
        <v>326</v>
      </c>
    </row>
    <row r="27" spans="2:14" x14ac:dyDescent="0.25">
      <c r="B27" s="62" t="s">
        <v>324</v>
      </c>
      <c r="C27" s="93">
        <f>((C23*$C$9)*$C$8/1000)/2</f>
        <v>166750711.50430048</v>
      </c>
      <c r="D27" s="62" t="s">
        <v>326</v>
      </c>
    </row>
    <row r="28" spans="2:14" ht="15.75" x14ac:dyDescent="0.25">
      <c r="B28" s="63" t="s">
        <v>167</v>
      </c>
      <c r="C28" s="124">
        <f>C6*(C4-C5)*C20</f>
        <v>33295.855579806062</v>
      </c>
      <c r="D28" s="63" t="s">
        <v>168</v>
      </c>
      <c r="N28">
        <v>3000</v>
      </c>
    </row>
    <row r="29" spans="2:14" ht="15.75" x14ac:dyDescent="0.25">
      <c r="B29" s="63" t="s">
        <v>169</v>
      </c>
      <c r="C29" s="124">
        <f>(C28*C24/1000)*3.6</f>
        <v>345211.43065142928</v>
      </c>
      <c r="D29" s="63" t="s">
        <v>170</v>
      </c>
      <c r="N29">
        <v>3000</v>
      </c>
    </row>
    <row r="30" spans="2:14" ht="15.75" x14ac:dyDescent="0.25">
      <c r="B30" s="63" t="s">
        <v>171</v>
      </c>
      <c r="C30" s="126">
        <f>C29/C27</f>
        <v>2.070224633749322E-3</v>
      </c>
      <c r="D30" s="63" t="s">
        <v>172</v>
      </c>
      <c r="M30" t="s">
        <v>314</v>
      </c>
      <c r="N30">
        <f>AVERAGE(N8:N29)</f>
        <v>9427.7857142857138</v>
      </c>
    </row>
    <row r="31" spans="2:14" ht="15.75" x14ac:dyDescent="0.25">
      <c r="B31" s="64" t="s">
        <v>173</v>
      </c>
      <c r="C31" s="125">
        <f>C30*C10</f>
        <v>0.19922867651846415</v>
      </c>
      <c r="D31" s="65" t="s">
        <v>179</v>
      </c>
      <c r="M31" t="s">
        <v>211</v>
      </c>
      <c r="N31">
        <f>SMALL(N8:N29,1)</f>
        <v>2065</v>
      </c>
    </row>
    <row r="32" spans="2:14" x14ac:dyDescent="0.25">
      <c r="M32" t="s">
        <v>212</v>
      </c>
      <c r="N32">
        <f>LARGE(N8:N29,1)</f>
        <v>30178</v>
      </c>
    </row>
    <row r="33" spans="2:15" ht="15.75" thickBot="1" x14ac:dyDescent="0.3"/>
    <row r="34" spans="2:15" ht="15.75" thickBot="1" x14ac:dyDescent="0.3">
      <c r="C34" s="96"/>
      <c r="D34" s="344" t="s">
        <v>220</v>
      </c>
      <c r="E34" s="345"/>
      <c r="F34" s="345"/>
      <c r="G34" s="345"/>
      <c r="H34" s="345"/>
      <c r="I34" s="346"/>
      <c r="J34" s="344" t="s">
        <v>214</v>
      </c>
      <c r="K34" s="345"/>
      <c r="L34" s="345"/>
      <c r="M34" s="345"/>
      <c r="N34" s="345"/>
      <c r="O34" s="346"/>
    </row>
    <row r="35" spans="2:15" ht="15.75" thickBot="1" x14ac:dyDescent="0.3">
      <c r="B35" t="s">
        <v>213</v>
      </c>
    </row>
    <row r="36" spans="2:15" ht="30" customHeight="1" x14ac:dyDescent="0.25">
      <c r="D36" t="s">
        <v>200</v>
      </c>
      <c r="E36" t="s">
        <v>203</v>
      </c>
      <c r="F36" t="s">
        <v>201</v>
      </c>
      <c r="G36" t="s">
        <v>202</v>
      </c>
      <c r="H36" t="s">
        <v>226</v>
      </c>
      <c r="J36" s="97"/>
      <c r="K36" s="100" t="s">
        <v>227</v>
      </c>
      <c r="L36" s="100" t="s">
        <v>228</v>
      </c>
      <c r="M36" s="100" t="s">
        <v>229</v>
      </c>
      <c r="N36" s="100" t="s">
        <v>202</v>
      </c>
      <c r="O36" s="100" t="s">
        <v>412</v>
      </c>
    </row>
    <row r="37" spans="2:15" x14ac:dyDescent="0.25">
      <c r="B37" t="s">
        <v>218</v>
      </c>
      <c r="C37" t="s">
        <v>325</v>
      </c>
      <c r="D37" s="95">
        <f>$C$6*($C$4-$C$5)*$C$18*($C$24/1000)*3.6*VLOOKUP(D36,'Indata Fjärrvärme'!$A$2:$C$7,2,FALSE)/$C$25</f>
        <v>9.8303322843190419E-2</v>
      </c>
      <c r="E37" s="95">
        <f>$C$6*($C$4-$C$5)*$C$18*($C$24/1000)*3.6*VLOOKUP(E36,'Indata Fjärrvärme'!$A$2:$C$7,2,FALSE)/$C$25</f>
        <v>2.1456929327131533E-2</v>
      </c>
      <c r="F37" s="95">
        <f>$C$6*($C$4-$C$5)*$C$18*($C$24/1000)*3.6*VLOOKUP(F36,'Indata Fjärrvärme'!$A$2:$C$7,2,FALSE)/$C$25</f>
        <v>3.1927381599686819E-2</v>
      </c>
      <c r="G37" s="95">
        <f>$C$6*($C$4-$C$5)*$C$18*($C$24/1000)*3.6*VLOOKUP(G36,'Indata Fjärrvärme'!$A$2:$C$7,2,FALSE)/$C$25</f>
        <v>0.33619839162490817</v>
      </c>
      <c r="H37" s="95">
        <f>$C$6*($C$4-$C$5)*$C$18*($C$24/1000)*3.6*VLOOKUP(H36,'Indata Fjärrvärme'!$A$2:$C$7,2,FALSE)/$C$25</f>
        <v>9.8371252088985325E-2</v>
      </c>
      <c r="J37" s="98" t="s">
        <v>325</v>
      </c>
      <c r="K37" s="120">
        <f>D37/4</f>
        <v>2.4575830710797605E-2</v>
      </c>
      <c r="L37" s="120">
        <f t="shared" ref="K37:O42" si="0">E37/4</f>
        <v>5.3642323317828833E-3</v>
      </c>
      <c r="M37" s="120">
        <f t="shared" si="0"/>
        <v>7.9818453999217047E-3</v>
      </c>
      <c r="N37" s="120">
        <f t="shared" si="0"/>
        <v>8.4049597906227042E-2</v>
      </c>
      <c r="O37" s="121">
        <f t="shared" si="0"/>
        <v>2.4592813022246331E-2</v>
      </c>
    </row>
    <row r="38" spans="2:15" x14ac:dyDescent="0.25">
      <c r="B38" t="s">
        <v>217</v>
      </c>
      <c r="C38" t="s">
        <v>327</v>
      </c>
      <c r="D38" s="94">
        <f>$C$6*($C$4-$C$5)*$C$19*($C$24/1000)*3.6*VLOOKUP(D36,'Indata Fjärrvärme'!$A$2:$C$7,2,FALSE)/$C$26</f>
        <v>3.9481859775925547E-2</v>
      </c>
      <c r="E38" s="94">
        <f>$C$6*($C$4-$C$5)*$C$19*($C$24/1000)*3.6*VLOOKUP(E36,'Indata Fjärrvärme'!$A$2:$C$7,2,FALSE)/$C$26</f>
        <v>8.617811182915016E-3</v>
      </c>
      <c r="F38" s="94">
        <f>$C$6*($C$4-$C$5)*$C$19*($C$24/1000)*3.6*VLOOKUP(F36,'Indata Fjärrvärme'!$A$2:$C$7,2,FALSE)/$C$26</f>
        <v>1.2823090480289092E-2</v>
      </c>
      <c r="G38" s="94">
        <f>$C$6*($C$4-$C$5)*$C$19*($C$24/1000)*3.6*VLOOKUP(G36,'Indata Fjärrvärme'!$A$2:$C$7,2,FALSE)/$C$26</f>
        <v>0.13502837311206731</v>
      </c>
      <c r="H38" s="94">
        <f>$C$6*($C$4-$C$5)*$C$19*($C$24/1000)*3.6*VLOOKUP(H36,'Indata Fjärrvärme'!$A$2:$C$7,2,FALSE)/$C$26</f>
        <v>3.950914240360881E-2</v>
      </c>
      <c r="J38" s="98" t="s">
        <v>413</v>
      </c>
      <c r="K38" s="120">
        <f t="shared" si="0"/>
        <v>9.8704649439813868E-3</v>
      </c>
      <c r="L38" s="120">
        <f t="shared" si="0"/>
        <v>2.154452795728754E-3</v>
      </c>
      <c r="M38" s="120">
        <f t="shared" si="0"/>
        <v>3.205772620072273E-3</v>
      </c>
      <c r="N38" s="120">
        <f t="shared" si="0"/>
        <v>3.3757093278016827E-2</v>
      </c>
      <c r="O38" s="121">
        <f t="shared" si="0"/>
        <v>9.8772856009022025E-3</v>
      </c>
    </row>
    <row r="39" spans="2:15" x14ac:dyDescent="0.25">
      <c r="B39" t="s">
        <v>230</v>
      </c>
      <c r="C39" t="s">
        <v>328</v>
      </c>
      <c r="D39" s="94">
        <f>$C$6*($C$4-$C$5)*$C$20*($C$24/1000)*3.6*VLOOKUP(D36,'Indata Fjärrvärme'!$A$2:$C$7,2,FALSE)/$C$27</f>
        <v>5.8253820944112841E-2</v>
      </c>
      <c r="E39" s="94">
        <f>$C$6*($C$4-$C$5)*$C$20*($C$24/1000)*3.6*VLOOKUP(E36,'Indata Fjärrvärme'!$A$2:$C$7,2,FALSE)/$C$27</f>
        <v>1.2715217379040907E-2</v>
      </c>
      <c r="F39" s="94">
        <f>$C$6*($C$4-$C$5)*$C$20*($C$24/1000)*3.6*VLOOKUP(F36,'Indata Fjärrvärme'!$A$2:$C$7,2,FALSE)/$C$27</f>
        <v>1.8919929836851448E-2</v>
      </c>
      <c r="G39" s="94">
        <f>$C$6*($C$4-$C$5)*$C$20*($C$24/1000)*3.6*VLOOKUP(G36,'Indata Fjärrvärme'!$A$2:$C$7,2,FALSE)/$C$27</f>
        <v>0.19922867651846413</v>
      </c>
      <c r="H39" s="94">
        <f>$C$6*($C$4-$C$5)*$C$20*($C$24/1000)*3.6*VLOOKUP(H36,'Indata Fjärrvärme'!$A$2:$C$7,2,FALSE)/$C$27</f>
        <v>5.8294075311991309E-2</v>
      </c>
      <c r="J39" s="98" t="s">
        <v>414</v>
      </c>
      <c r="K39" s="120">
        <f t="shared" si="0"/>
        <v>1.456345523602821E-2</v>
      </c>
      <c r="L39" s="120">
        <f t="shared" si="0"/>
        <v>3.1788043447602268E-3</v>
      </c>
      <c r="M39" s="120">
        <f t="shared" si="0"/>
        <v>4.7299824592128619E-3</v>
      </c>
      <c r="N39" s="120">
        <f t="shared" si="0"/>
        <v>4.9807169129616032E-2</v>
      </c>
      <c r="O39" s="121">
        <f t="shared" si="0"/>
        <v>1.4573518827997827E-2</v>
      </c>
    </row>
    <row r="40" spans="2:15" x14ac:dyDescent="0.25">
      <c r="C40" t="s">
        <v>215</v>
      </c>
      <c r="D40" s="94">
        <f>$C$6*($C$4-$E$5)*$C$20*($C$24/1000)*3.6*VLOOKUP(D36,'Indata Fjärrvärme'!$A$2:$C$7,2,FALSE)/$C$27</f>
        <v>3.799162235485621E-2</v>
      </c>
      <c r="E40" s="94">
        <f>$C$6*($C$4-$E$5)*$C$20*($C$24/1000)*3.6*VLOOKUP(E36,'Indata Fjärrvärme'!$A$2:$C$7,2,FALSE)/$C$27</f>
        <v>8.2925330732875491E-3</v>
      </c>
      <c r="F40" s="94">
        <f>$C$6*($C$4-$E$5)*$C$20*($C$24/1000)*3.6*VLOOKUP(F36,'Indata Fjärrvärme'!$A$2:$C$7,2,FALSE)/$C$27</f>
        <v>1.2339084676207469E-2</v>
      </c>
      <c r="G40" s="94">
        <f>$C$6*($C$4-$E$5)*$C$20*($C$24/1000)*3.6*VLOOKUP(G36,'Indata Fjärrvärme'!$A$2:$C$7,2,FALSE)/$C$27</f>
        <v>0.12993174555552009</v>
      </c>
      <c r="H40" s="94">
        <f>$C$6*($C$4-$E$5)*$C$20*($C$24/1000)*3.6*VLOOKUP(H36,'Indata Fjärrvärme'!$A$2:$C$7,2,FALSE)/$C$27</f>
        <v>3.8017875203472599E-2</v>
      </c>
      <c r="J40" s="98" t="s">
        <v>215</v>
      </c>
      <c r="K40" s="120">
        <f t="shared" si="0"/>
        <v>9.4979055887140524E-3</v>
      </c>
      <c r="L40" s="120">
        <f t="shared" si="0"/>
        <v>2.0731332683218873E-3</v>
      </c>
      <c r="M40" s="120">
        <f t="shared" si="0"/>
        <v>3.0847711690518672E-3</v>
      </c>
      <c r="N40" s="120">
        <f t="shared" si="0"/>
        <v>3.2482936388880022E-2</v>
      </c>
      <c r="O40" s="121">
        <f t="shared" si="0"/>
        <v>9.5044688008681499E-3</v>
      </c>
    </row>
    <row r="41" spans="2:15" x14ac:dyDescent="0.25">
      <c r="C41" t="s">
        <v>216</v>
      </c>
      <c r="D41" s="94">
        <f>$C$6*($C$4-$F$5)*$C$20*($C$24/1000)*3.6*VLOOKUP(D36,'Indata Fjärrvärme'!$A$2:$C$7,2,FALSE)/$C$27</f>
        <v>7.5983244709712419E-2</v>
      </c>
      <c r="E41" s="94">
        <f>$C$6*($C$4-$F$5)*$C$20*($C$24/1000)*3.6*VLOOKUP(E36,'Indata Fjärrvärme'!$A$2:$C$7,2,FALSE)/$C$27</f>
        <v>1.6585066146575098E-2</v>
      </c>
      <c r="F41" s="94">
        <f>$C$6*($C$4-$F$5)*$C$20*($C$24/1000)*3.6*VLOOKUP(F36,'Indata Fjärrvärme'!$A$2:$C$7,2,FALSE)/$C$27</f>
        <v>2.4678169352414937E-2</v>
      </c>
      <c r="G41" s="94">
        <f>$C$6*($C$4-$F$5)*$C$20*($C$24/1000)*3.6*VLOOKUP(G36,'Indata Fjärrvärme'!$A$2:$C$7,2,FALSE)/$C$27</f>
        <v>0.25986349111104018</v>
      </c>
      <c r="H41" s="94">
        <f>$C$6*($C$4-$F$5)*$C$20*($C$24/1000)*3.6*VLOOKUP(H36,'Indata Fjärrvärme'!$A$2:$C$7,2,FALSE)/$C$27</f>
        <v>7.6035750406945199E-2</v>
      </c>
      <c r="J41" s="98" t="s">
        <v>216</v>
      </c>
      <c r="K41" s="120">
        <f t="shared" si="0"/>
        <v>1.8995811177428105E-2</v>
      </c>
      <c r="L41" s="120">
        <f t="shared" si="0"/>
        <v>4.1462665366437746E-3</v>
      </c>
      <c r="M41" s="120">
        <f t="shared" si="0"/>
        <v>6.1695423381037343E-3</v>
      </c>
      <c r="N41" s="120">
        <f t="shared" si="0"/>
        <v>6.4965872777760045E-2</v>
      </c>
      <c r="O41" s="121">
        <f t="shared" si="0"/>
        <v>1.90089376017363E-2</v>
      </c>
    </row>
    <row r="42" spans="2:15" ht="15.75" thickBot="1" x14ac:dyDescent="0.3">
      <c r="B42" t="s">
        <v>219</v>
      </c>
      <c r="C42" t="s">
        <v>221</v>
      </c>
      <c r="D42" s="94">
        <f>$F$6*($C$4-$C$5)*$C$20*($C$24/1000)*3.6*VLOOKUP(D36,'Indata Fjärrvärme'!$A$2:$C$7,2,FALSE)/$C$27</f>
        <v>0.10679867173087357</v>
      </c>
      <c r="E42" s="94">
        <f>$F$6*($C$4-$C$5)*$C$20*($C$24/1000)*3.6*VLOOKUP(E36,'Indata Fjärrvärme'!$A$2:$C$7,2,FALSE)/$C$27</f>
        <v>2.3311231861575001E-2</v>
      </c>
      <c r="F42" s="94">
        <f>$F$6*($C$4-$C$5)*$C$20*($C$24/1000)*3.6*VLOOKUP(F36,'Indata Fjärrvärme'!$A$2:$C$7,2,FALSE)/$C$27</f>
        <v>3.4686538034227665E-2</v>
      </c>
      <c r="G42" s="94">
        <f>$F$6*($C$4-$C$5)*$C$20*($C$24/1000)*3.6*VLOOKUP(G36,'Indata Fjärrvärme'!$A$2:$C$7,2,FALSE)/$C$27</f>
        <v>0.36525257361718427</v>
      </c>
      <c r="H42" s="94">
        <f>$F$6*($C$4-$C$5)*$C$20*($C$24/1000)*3.6*VLOOKUP(H36,'Indata Fjärrvärme'!$A$2:$C$7,2,FALSE)/$C$27</f>
        <v>0.10687247140531742</v>
      </c>
      <c r="J42" s="99" t="s">
        <v>221</v>
      </c>
      <c r="K42" s="122">
        <f t="shared" si="0"/>
        <v>2.6699667932718392E-2</v>
      </c>
      <c r="L42" s="122">
        <f t="shared" si="0"/>
        <v>5.8278079653937501E-3</v>
      </c>
      <c r="M42" s="122">
        <f t="shared" si="0"/>
        <v>8.6716345085569163E-3</v>
      </c>
      <c r="N42" s="122">
        <f t="shared" si="0"/>
        <v>9.1313143404296068E-2</v>
      </c>
      <c r="O42" s="123">
        <f t="shared" si="0"/>
        <v>2.6718117851329354E-2</v>
      </c>
    </row>
  </sheetData>
  <sheetProtection password="EA8D" sheet="1" objects="1" scenarios="1"/>
  <mergeCells count="2">
    <mergeCell ref="D34:I34"/>
    <mergeCell ref="J34:O3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älj typ av olja" prompt="FFA, TPO, MFA etc">
          <x14:formula1>
            <xm:f>'Indata old'!$A$6:$A$10</xm:f>
          </x14:formula1>
          <xm:sqref>B2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9"/>
  <sheetViews>
    <sheetView workbookViewId="0">
      <selection activeCell="F12" sqref="F12"/>
    </sheetView>
  </sheetViews>
  <sheetFormatPr defaultRowHeight="15" x14ac:dyDescent="0.25"/>
  <cols>
    <col min="1" max="1" width="22.85546875" style="205" customWidth="1"/>
    <col min="2" max="16384" width="9.140625" style="205"/>
  </cols>
  <sheetData>
    <row r="1" spans="1:2" x14ac:dyDescent="0.25">
      <c r="A1" s="207" t="s">
        <v>18</v>
      </c>
      <c r="B1" s="207" t="s">
        <v>549</v>
      </c>
    </row>
    <row r="2" spans="1:2" x14ac:dyDescent="0.25">
      <c r="A2" s="205" t="s">
        <v>503</v>
      </c>
      <c r="B2" s="206">
        <v>0.43049999999999999</v>
      </c>
    </row>
    <row r="3" spans="1:2" x14ac:dyDescent="0.25">
      <c r="A3" s="205" t="s">
        <v>231</v>
      </c>
      <c r="B3" s="206">
        <v>0.43049999999999999</v>
      </c>
    </row>
    <row r="4" spans="1:2" x14ac:dyDescent="0.25">
      <c r="A4" s="205" t="s">
        <v>77</v>
      </c>
      <c r="B4" s="206">
        <v>0.52349999999999997</v>
      </c>
    </row>
    <row r="5" spans="1:2" x14ac:dyDescent="0.25">
      <c r="A5" s="205" t="s">
        <v>80</v>
      </c>
      <c r="B5" s="206">
        <v>0.38850000000000001</v>
      </c>
    </row>
    <row r="6" spans="1:2" x14ac:dyDescent="0.25">
      <c r="A6" s="205" t="s">
        <v>547</v>
      </c>
      <c r="B6" s="206">
        <v>0.30100000000000005</v>
      </c>
    </row>
    <row r="7" spans="1:2" x14ac:dyDescent="0.25">
      <c r="A7" s="205" t="s">
        <v>546</v>
      </c>
      <c r="B7" s="206">
        <v>0.43049999999999999</v>
      </c>
    </row>
    <row r="8" spans="1:2" x14ac:dyDescent="0.25">
      <c r="A8" s="205" t="s">
        <v>555</v>
      </c>
      <c r="B8" s="206">
        <v>0.23600000000000002</v>
      </c>
    </row>
    <row r="9" spans="1:2" x14ac:dyDescent="0.25">
      <c r="A9" s="205" t="s">
        <v>548</v>
      </c>
      <c r="B9" s="206">
        <v>0.23600000000000002</v>
      </c>
    </row>
  </sheetData>
  <sheetProtection password="EA8D"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7"/>
  <sheetViews>
    <sheetView workbookViewId="0">
      <selection activeCell="C25" sqref="C25"/>
    </sheetView>
  </sheetViews>
  <sheetFormatPr defaultRowHeight="15" x14ac:dyDescent="0.25"/>
  <cols>
    <col min="1" max="1" width="19.5703125" customWidth="1"/>
    <col min="2" max="2" width="19.28515625" customWidth="1"/>
    <col min="3" max="3" width="55.5703125" customWidth="1"/>
  </cols>
  <sheetData>
    <row r="1" spans="1:3" x14ac:dyDescent="0.25">
      <c r="B1" t="s">
        <v>234</v>
      </c>
      <c r="C1" t="s">
        <v>205</v>
      </c>
    </row>
    <row r="2" spans="1:3" x14ac:dyDescent="0.25">
      <c r="A2" t="s">
        <v>200</v>
      </c>
      <c r="B2" s="5">
        <f>101.3/3.6</f>
        <v>28.138888888888886</v>
      </c>
      <c r="C2" t="s">
        <v>206</v>
      </c>
    </row>
    <row r="3" spans="1:3" x14ac:dyDescent="0.25">
      <c r="A3" t="s">
        <v>203</v>
      </c>
      <c r="B3" s="5">
        <f>22.1110220689655/3.6</f>
        <v>6.1419505747126388</v>
      </c>
      <c r="C3" t="s">
        <v>329</v>
      </c>
    </row>
    <row r="4" spans="1:3" x14ac:dyDescent="0.25">
      <c r="A4" t="s">
        <v>204</v>
      </c>
      <c r="B4" s="6">
        <f>112.809793997771/3.6</f>
        <v>31.336053888269721</v>
      </c>
      <c r="C4" t="s">
        <v>207</v>
      </c>
    </row>
    <row r="5" spans="1:3" x14ac:dyDescent="0.25">
      <c r="A5" t="s">
        <v>201</v>
      </c>
      <c r="B5" s="5">
        <f>32.9006554662187/3.6</f>
        <v>9.1390709628385274</v>
      </c>
      <c r="C5" t="s">
        <v>208</v>
      </c>
    </row>
    <row r="6" spans="1:3" x14ac:dyDescent="0.25">
      <c r="A6" t="s">
        <v>202</v>
      </c>
      <c r="B6" s="5">
        <f>'Indata old'!C6/0.85</f>
        <v>96.235294117647058</v>
      </c>
      <c r="C6" t="s">
        <v>209</v>
      </c>
    </row>
    <row r="7" spans="1:3" x14ac:dyDescent="0.25">
      <c r="A7" t="s">
        <v>226</v>
      </c>
      <c r="B7" s="5">
        <f>(93.57+7.8)/3.6</f>
        <v>28.158333333333331</v>
      </c>
      <c r="C7" t="s">
        <v>210</v>
      </c>
    </row>
  </sheetData>
  <sheetProtection password="EA8D"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AF168"/>
  <sheetViews>
    <sheetView showGridLines="0" zoomScale="80" zoomScaleNormal="80" workbookViewId="0">
      <selection activeCell="A3" sqref="A3"/>
    </sheetView>
  </sheetViews>
  <sheetFormatPr defaultRowHeight="15" x14ac:dyDescent="0.25"/>
  <cols>
    <col min="1" max="6" width="9.140625" style="1"/>
    <col min="7" max="7" width="10.28515625" style="1" customWidth="1"/>
    <col min="8" max="16" width="9.140625" style="1"/>
    <col min="17" max="17" width="9.7109375" style="1" customWidth="1"/>
    <col min="18" max="19" width="9.140625" style="1"/>
    <col min="20" max="20" width="9.140625" style="1" customWidth="1"/>
    <col min="21" max="16384" width="9.140625" style="1"/>
  </cols>
  <sheetData>
    <row r="1" spans="1:10" x14ac:dyDescent="0.25">
      <c r="A1" s="305" t="s">
        <v>673</v>
      </c>
    </row>
    <row r="2" spans="1:10" ht="16.5" customHeight="1" x14ac:dyDescent="0.25"/>
    <row r="3" spans="1:10" ht="22.5" x14ac:dyDescent="0.3">
      <c r="B3" s="240" t="s">
        <v>384</v>
      </c>
    </row>
    <row r="9" spans="1:10" x14ac:dyDescent="0.25">
      <c r="B9" s="313" t="s">
        <v>649</v>
      </c>
      <c r="C9" s="313"/>
      <c r="D9" s="313"/>
      <c r="E9" s="313"/>
      <c r="F9" s="313"/>
      <c r="G9" s="313"/>
      <c r="H9" s="313"/>
      <c r="I9" s="313"/>
      <c r="J9" s="313"/>
    </row>
    <row r="11" spans="1:10" ht="18" thickBot="1" x14ac:dyDescent="0.35">
      <c r="B11" s="241" t="s">
        <v>532</v>
      </c>
    </row>
    <row r="12" spans="1:10" ht="15.75" thickTop="1" x14ac:dyDescent="0.25"/>
    <row r="34" spans="2:17" ht="18" thickBot="1" x14ac:dyDescent="0.35">
      <c r="B34" s="241" t="s">
        <v>448</v>
      </c>
    </row>
    <row r="35" spans="2:17" ht="15.75" thickTop="1" x14ac:dyDescent="0.25"/>
    <row r="42" spans="2:17" x14ac:dyDescent="0.25">
      <c r="B42" s="314" t="s">
        <v>449</v>
      </c>
      <c r="C42" s="314"/>
      <c r="D42" s="314"/>
      <c r="E42" s="314"/>
      <c r="F42" s="314"/>
      <c r="G42" s="314"/>
    </row>
    <row r="43" spans="2:17" x14ac:dyDescent="0.25">
      <c r="L43" s="242"/>
      <c r="M43" s="242"/>
      <c r="N43" s="242"/>
      <c r="O43" s="242"/>
      <c r="P43" s="242"/>
      <c r="Q43" s="242"/>
    </row>
    <row r="44" spans="2:17" ht="18" thickBot="1" x14ac:dyDescent="0.35">
      <c r="B44" s="241" t="s">
        <v>645</v>
      </c>
      <c r="L44" s="242"/>
      <c r="M44" s="242"/>
      <c r="N44" s="242"/>
      <c r="O44" s="242"/>
      <c r="P44" s="242"/>
      <c r="Q44" s="242"/>
    </row>
    <row r="45" spans="2:17" ht="15.75" thickTop="1" x14ac:dyDescent="0.25">
      <c r="L45" s="242"/>
      <c r="M45" s="242"/>
      <c r="N45" s="242"/>
      <c r="O45" s="242"/>
      <c r="P45" s="242"/>
      <c r="Q45" s="242"/>
    </row>
    <row r="46" spans="2:17" x14ac:dyDescent="0.25">
      <c r="L46" s="242"/>
      <c r="M46" s="242"/>
      <c r="N46" s="242"/>
      <c r="O46" s="242"/>
      <c r="P46" s="242"/>
      <c r="Q46" s="242"/>
    </row>
    <row r="47" spans="2:17" x14ac:dyDescent="0.25">
      <c r="L47" s="242"/>
      <c r="M47" s="242"/>
      <c r="N47" s="242"/>
      <c r="O47" s="242"/>
      <c r="P47" s="242"/>
      <c r="Q47" s="242"/>
    </row>
    <row r="48" spans="2:17" x14ac:dyDescent="0.25">
      <c r="L48" s="242"/>
      <c r="M48" s="242"/>
      <c r="N48" s="242"/>
      <c r="O48" s="242"/>
      <c r="P48" s="242"/>
      <c r="Q48" s="242"/>
    </row>
    <row r="49" spans="2:17" x14ac:dyDescent="0.25">
      <c r="L49" s="242"/>
      <c r="M49" s="242"/>
      <c r="N49" s="242"/>
      <c r="O49" s="242"/>
      <c r="P49" s="242"/>
      <c r="Q49" s="242"/>
    </row>
    <row r="50" spans="2:17" x14ac:dyDescent="0.25">
      <c r="L50" s="242"/>
      <c r="M50" s="242"/>
      <c r="N50" s="242"/>
      <c r="O50" s="242"/>
      <c r="P50" s="242"/>
      <c r="Q50" s="242"/>
    </row>
    <row r="51" spans="2:17" x14ac:dyDescent="0.25">
      <c r="L51" s="242"/>
      <c r="M51" s="242"/>
      <c r="N51" s="242"/>
      <c r="O51" s="242"/>
      <c r="P51" s="242"/>
      <c r="Q51" s="242"/>
    </row>
    <row r="52" spans="2:17" x14ac:dyDescent="0.25">
      <c r="L52" s="242"/>
      <c r="M52" s="242"/>
      <c r="N52" s="242"/>
      <c r="O52" s="242"/>
      <c r="P52" s="242"/>
      <c r="Q52" s="242"/>
    </row>
    <row r="53" spans="2:17" x14ac:dyDescent="0.25">
      <c r="L53" s="242"/>
      <c r="M53" s="242"/>
      <c r="N53" s="242"/>
      <c r="O53" s="242"/>
      <c r="P53" s="242"/>
      <c r="Q53" s="242"/>
    </row>
    <row r="54" spans="2:17" x14ac:dyDescent="0.25">
      <c r="L54" s="242"/>
      <c r="M54" s="242"/>
      <c r="N54" s="242"/>
      <c r="O54" s="242"/>
      <c r="P54" s="242"/>
      <c r="Q54" s="242"/>
    </row>
    <row r="55" spans="2:17" x14ac:dyDescent="0.25">
      <c r="L55" s="242"/>
      <c r="M55" s="242"/>
      <c r="N55" s="242"/>
      <c r="O55" s="242"/>
      <c r="P55" s="242"/>
      <c r="Q55" s="242"/>
    </row>
    <row r="56" spans="2:17" x14ac:dyDescent="0.25">
      <c r="L56" s="242"/>
      <c r="M56" s="242"/>
      <c r="N56" s="242"/>
      <c r="O56" s="242"/>
      <c r="P56" s="242"/>
      <c r="Q56" s="242"/>
    </row>
    <row r="57" spans="2:17" x14ac:dyDescent="0.25">
      <c r="L57" s="242"/>
      <c r="M57" s="242"/>
      <c r="N57" s="242"/>
      <c r="O57" s="242"/>
      <c r="P57" s="242"/>
      <c r="Q57" s="242"/>
    </row>
    <row r="59" spans="2:17" ht="20.25" thickBot="1" x14ac:dyDescent="0.35">
      <c r="B59" s="261" t="s">
        <v>646</v>
      </c>
      <c r="L59" s="242"/>
      <c r="M59" s="242"/>
      <c r="N59" s="242"/>
      <c r="O59" s="242"/>
      <c r="P59" s="242"/>
      <c r="Q59" s="242"/>
    </row>
    <row r="60" spans="2:17" ht="15.75" thickTop="1" x14ac:dyDescent="0.25">
      <c r="L60" s="242"/>
      <c r="M60" s="242"/>
      <c r="N60" s="242"/>
      <c r="O60" s="242"/>
      <c r="P60" s="242"/>
      <c r="Q60" s="242"/>
    </row>
    <row r="61" spans="2:17" x14ac:dyDescent="0.25">
      <c r="L61" s="242"/>
      <c r="M61" s="242"/>
      <c r="N61" s="242"/>
      <c r="O61" s="242"/>
      <c r="P61" s="242"/>
      <c r="Q61" s="242"/>
    </row>
    <row r="62" spans="2:17" x14ac:dyDescent="0.25">
      <c r="L62" s="242"/>
      <c r="M62" s="242"/>
      <c r="N62" s="242"/>
      <c r="O62" s="242"/>
      <c r="P62" s="242"/>
      <c r="Q62" s="242"/>
    </row>
    <row r="63" spans="2:17" x14ac:dyDescent="0.25">
      <c r="L63" s="242"/>
      <c r="M63" s="242"/>
      <c r="N63" s="242"/>
      <c r="O63" s="242"/>
      <c r="P63" s="242"/>
      <c r="Q63" s="242"/>
    </row>
    <row r="64" spans="2:17" x14ac:dyDescent="0.25">
      <c r="L64" s="242"/>
      <c r="M64" s="242"/>
      <c r="N64" s="242"/>
      <c r="O64" s="242"/>
      <c r="P64" s="242"/>
      <c r="Q64" s="242"/>
    </row>
    <row r="65" spans="2:17" ht="18" thickBot="1" x14ac:dyDescent="0.35">
      <c r="B65" s="241" t="s">
        <v>650</v>
      </c>
      <c r="L65" s="242"/>
      <c r="M65" s="242"/>
      <c r="N65" s="242"/>
      <c r="O65" s="242"/>
      <c r="P65" s="242"/>
      <c r="Q65" s="242"/>
    </row>
    <row r="66" spans="2:17" ht="15.75" thickTop="1" x14ac:dyDescent="0.25">
      <c r="L66" s="242"/>
      <c r="M66" s="242"/>
      <c r="N66" s="242"/>
      <c r="O66" s="242"/>
      <c r="P66" s="242"/>
      <c r="Q66" s="242"/>
    </row>
    <row r="67" spans="2:17" x14ac:dyDescent="0.25">
      <c r="L67" s="242"/>
      <c r="M67" s="242"/>
      <c r="N67" s="242"/>
      <c r="O67" s="242"/>
      <c r="P67" s="242"/>
      <c r="Q67" s="242"/>
    </row>
    <row r="68" spans="2:17" x14ac:dyDescent="0.25">
      <c r="L68" s="242"/>
      <c r="M68" s="242"/>
      <c r="N68" s="242"/>
      <c r="O68" s="242"/>
      <c r="P68" s="242"/>
      <c r="Q68" s="242"/>
    </row>
    <row r="69" spans="2:17" x14ac:dyDescent="0.25">
      <c r="L69" s="291"/>
      <c r="M69" s="291"/>
      <c r="N69" s="291"/>
      <c r="O69" s="291"/>
      <c r="P69" s="291"/>
      <c r="Q69" s="291"/>
    </row>
    <row r="70" spans="2:17" x14ac:dyDescent="0.25">
      <c r="L70" s="291"/>
      <c r="M70" s="291"/>
      <c r="N70" s="291"/>
      <c r="O70" s="291"/>
      <c r="P70" s="291"/>
      <c r="Q70" s="291"/>
    </row>
    <row r="71" spans="2:17" x14ac:dyDescent="0.25">
      <c r="L71" s="242"/>
      <c r="M71" s="242"/>
      <c r="N71" s="242"/>
      <c r="O71" s="242"/>
      <c r="P71" s="242"/>
      <c r="Q71" s="242"/>
    </row>
    <row r="72" spans="2:17" x14ac:dyDescent="0.25">
      <c r="L72" s="242"/>
      <c r="M72" s="242"/>
      <c r="N72" s="242"/>
      <c r="O72" s="242"/>
      <c r="P72" s="242"/>
      <c r="Q72" s="242"/>
    </row>
    <row r="73" spans="2:17" ht="18" thickBot="1" x14ac:dyDescent="0.35">
      <c r="B73" s="241" t="s">
        <v>648</v>
      </c>
      <c r="L73" s="242"/>
      <c r="M73" s="242"/>
      <c r="N73" s="242"/>
      <c r="O73" s="242"/>
      <c r="P73" s="242"/>
      <c r="Q73" s="242"/>
    </row>
    <row r="74" spans="2:17" ht="15.75" thickTop="1" x14ac:dyDescent="0.25">
      <c r="L74" s="242"/>
      <c r="M74" s="242"/>
      <c r="N74" s="242"/>
      <c r="O74" s="242"/>
      <c r="P74" s="242"/>
      <c r="Q74" s="242"/>
    </row>
    <row r="75" spans="2:17" x14ac:dyDescent="0.25">
      <c r="L75" s="242"/>
      <c r="M75" s="242"/>
      <c r="N75" s="242"/>
      <c r="O75" s="242"/>
      <c r="P75" s="242"/>
      <c r="Q75" s="242"/>
    </row>
    <row r="76" spans="2:17" x14ac:dyDescent="0.25">
      <c r="L76" s="242"/>
      <c r="M76" s="242"/>
      <c r="N76" s="242"/>
      <c r="O76" s="242"/>
      <c r="P76" s="242"/>
      <c r="Q76" s="242"/>
    </row>
    <row r="77" spans="2:17" x14ac:dyDescent="0.25">
      <c r="L77" s="242"/>
      <c r="M77" s="242"/>
      <c r="N77" s="242"/>
      <c r="O77" s="242"/>
      <c r="P77" s="242"/>
      <c r="Q77" s="242"/>
    </row>
    <row r="78" spans="2:17" x14ac:dyDescent="0.25">
      <c r="L78" s="242"/>
      <c r="M78" s="242"/>
      <c r="N78" s="242"/>
      <c r="O78" s="242"/>
      <c r="P78" s="242"/>
      <c r="Q78" s="242"/>
    </row>
    <row r="80" spans="2:17" ht="18" thickBot="1" x14ac:dyDescent="0.35">
      <c r="B80" s="241" t="s">
        <v>665</v>
      </c>
    </row>
    <row r="81" spans="2:30" ht="16.5" thickTop="1" thickBot="1" x14ac:dyDescent="0.3"/>
    <row r="82" spans="2:30" ht="15.75" thickTop="1" x14ac:dyDescent="0.25">
      <c r="B82" s="244"/>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6"/>
    </row>
    <row r="83" spans="2:30" x14ac:dyDescent="0.25">
      <c r="B83" s="247"/>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9"/>
    </row>
    <row r="84" spans="2:30" x14ac:dyDescent="0.25">
      <c r="B84" s="247"/>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9"/>
    </row>
    <row r="85" spans="2:30" x14ac:dyDescent="0.25">
      <c r="B85" s="247"/>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9"/>
    </row>
    <row r="86" spans="2:30" x14ac:dyDescent="0.25">
      <c r="B86" s="247"/>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9"/>
    </row>
    <row r="87" spans="2:30" x14ac:dyDescent="0.25">
      <c r="B87" s="247"/>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9"/>
    </row>
    <row r="88" spans="2:30" x14ac:dyDescent="0.25">
      <c r="B88" s="247"/>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9"/>
    </row>
    <row r="89" spans="2:30" x14ac:dyDescent="0.25">
      <c r="B89" s="247"/>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9"/>
    </row>
    <row r="90" spans="2:30" x14ac:dyDescent="0.25">
      <c r="B90" s="247"/>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9"/>
    </row>
    <row r="91" spans="2:30" x14ac:dyDescent="0.25">
      <c r="B91" s="247"/>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9"/>
    </row>
    <row r="92" spans="2:30" x14ac:dyDescent="0.25">
      <c r="B92" s="247"/>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9"/>
    </row>
    <row r="93" spans="2:30" x14ac:dyDescent="0.25">
      <c r="B93" s="247"/>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9"/>
    </row>
    <row r="94" spans="2:30" x14ac:dyDescent="0.25">
      <c r="B94" s="247"/>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9"/>
    </row>
    <row r="95" spans="2:30" x14ac:dyDescent="0.25">
      <c r="B95" s="247"/>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9"/>
    </row>
    <row r="96" spans="2:30" x14ac:dyDescent="0.25">
      <c r="B96" s="247"/>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9"/>
    </row>
    <row r="97" spans="2:32" x14ac:dyDescent="0.25">
      <c r="B97" s="247"/>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9"/>
    </row>
    <row r="98" spans="2:32" x14ac:dyDescent="0.25">
      <c r="B98" s="247"/>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9"/>
    </row>
    <row r="99" spans="2:32" x14ac:dyDescent="0.25">
      <c r="B99" s="247"/>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9"/>
    </row>
    <row r="100" spans="2:32" x14ac:dyDescent="0.25">
      <c r="B100" s="247"/>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9"/>
    </row>
    <row r="101" spans="2:32" x14ac:dyDescent="0.25">
      <c r="B101" s="247"/>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9"/>
    </row>
    <row r="102" spans="2:32" x14ac:dyDescent="0.25">
      <c r="B102" s="247"/>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9"/>
    </row>
    <row r="103" spans="2:32" x14ac:dyDescent="0.25">
      <c r="B103" s="247"/>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9"/>
    </row>
    <row r="104" spans="2:32" x14ac:dyDescent="0.25">
      <c r="B104" s="247"/>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9"/>
    </row>
    <row r="105" spans="2:32" x14ac:dyDescent="0.25">
      <c r="B105" s="247"/>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9"/>
    </row>
    <row r="106" spans="2:32" x14ac:dyDescent="0.25">
      <c r="B106" s="247"/>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9"/>
    </row>
    <row r="107" spans="2:32" x14ac:dyDescent="0.25">
      <c r="B107" s="247"/>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9"/>
    </row>
    <row r="108" spans="2:32" x14ac:dyDescent="0.25">
      <c r="B108" s="247"/>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9"/>
    </row>
    <row r="109" spans="2:32" x14ac:dyDescent="0.25">
      <c r="B109" s="247"/>
      <c r="C109" s="248"/>
      <c r="D109" s="248"/>
      <c r="E109" s="248"/>
      <c r="F109" s="248"/>
      <c r="G109" s="248"/>
      <c r="H109" s="248"/>
      <c r="I109" s="248"/>
      <c r="J109" s="248"/>
      <c r="K109" s="248"/>
      <c r="L109" s="248"/>
      <c r="M109" s="248"/>
      <c r="N109" s="248"/>
      <c r="O109" s="248"/>
      <c r="P109" s="248"/>
      <c r="Q109" s="248"/>
      <c r="R109" s="248"/>
      <c r="S109" s="248"/>
      <c r="T109" s="250" t="s">
        <v>440</v>
      </c>
      <c r="U109" s="251"/>
      <c r="V109" s="251"/>
      <c r="W109" s="251"/>
      <c r="X109" s="251"/>
      <c r="Y109" s="251"/>
      <c r="Z109" s="251"/>
      <c r="AA109" s="251"/>
      <c r="AB109" s="251"/>
      <c r="AC109" s="252"/>
      <c r="AD109" s="249"/>
    </row>
    <row r="110" spans="2:32" x14ac:dyDescent="0.25">
      <c r="B110" s="247"/>
      <c r="C110" s="248"/>
      <c r="D110" s="248"/>
      <c r="E110" s="248"/>
      <c r="F110" s="248"/>
      <c r="G110" s="248"/>
      <c r="H110" s="248"/>
      <c r="I110" s="248"/>
      <c r="J110" s="248"/>
      <c r="K110" s="248"/>
      <c r="L110" s="248"/>
      <c r="M110" s="248"/>
      <c r="N110" s="248"/>
      <c r="O110" s="248"/>
      <c r="P110" s="248"/>
      <c r="Q110" s="248"/>
      <c r="R110" s="248"/>
      <c r="S110" s="248"/>
      <c r="T110" s="253" t="s">
        <v>438</v>
      </c>
      <c r="U110" s="248"/>
      <c r="V110" s="248"/>
      <c r="W110" s="248"/>
      <c r="X110" s="248"/>
      <c r="Y110" s="248"/>
      <c r="Z110" s="248"/>
      <c r="AA110" s="248"/>
      <c r="AB110" s="248"/>
      <c r="AC110" s="254"/>
      <c r="AD110" s="249"/>
    </row>
    <row r="111" spans="2:32" x14ac:dyDescent="0.25">
      <c r="B111" s="247"/>
      <c r="C111" s="248"/>
      <c r="D111" s="248"/>
      <c r="E111" s="248"/>
      <c r="F111" s="248"/>
      <c r="G111" s="248"/>
      <c r="H111" s="248"/>
      <c r="I111" s="248"/>
      <c r="J111" s="248"/>
      <c r="K111" s="248"/>
      <c r="L111" s="248"/>
      <c r="M111" s="248"/>
      <c r="N111" s="248"/>
      <c r="O111" s="248"/>
      <c r="P111" s="248"/>
      <c r="Q111" s="248"/>
      <c r="R111" s="248"/>
      <c r="S111" s="248"/>
      <c r="T111" s="253" t="s">
        <v>439</v>
      </c>
      <c r="U111" s="248"/>
      <c r="V111" s="248"/>
      <c r="W111" s="248"/>
      <c r="X111" s="248"/>
      <c r="Y111" s="248"/>
      <c r="Z111" s="248"/>
      <c r="AA111" s="248"/>
      <c r="AB111" s="248"/>
      <c r="AC111" s="254"/>
      <c r="AD111" s="249"/>
    </row>
    <row r="112" spans="2:32" x14ac:dyDescent="0.25">
      <c r="B112" s="247"/>
      <c r="C112" s="248"/>
      <c r="D112" s="248"/>
      <c r="E112" s="248"/>
      <c r="F112" s="248"/>
      <c r="G112" s="248"/>
      <c r="H112" s="248"/>
      <c r="I112" s="248"/>
      <c r="J112" s="248"/>
      <c r="K112" s="248"/>
      <c r="L112" s="248"/>
      <c r="M112" s="248"/>
      <c r="N112" s="248"/>
      <c r="O112" s="248"/>
      <c r="P112" s="248"/>
      <c r="Q112" s="248"/>
      <c r="R112" s="248"/>
      <c r="S112" s="248"/>
      <c r="T112" s="237"/>
      <c r="U112" s="248" t="s">
        <v>441</v>
      </c>
      <c r="V112" s="248"/>
      <c r="W112" s="248"/>
      <c r="X112" s="248"/>
      <c r="Y112" s="248"/>
      <c r="Z112" s="248"/>
      <c r="AA112" s="248"/>
      <c r="AB112" s="248"/>
      <c r="AC112" s="254"/>
      <c r="AD112" s="249"/>
      <c r="AE112" s="248"/>
      <c r="AF112" s="248"/>
    </row>
    <row r="113" spans="2:32" x14ac:dyDescent="0.25">
      <c r="B113" s="247"/>
      <c r="C113" s="248"/>
      <c r="D113" s="248"/>
      <c r="E113" s="248"/>
      <c r="F113" s="248"/>
      <c r="G113" s="248"/>
      <c r="H113" s="248"/>
      <c r="I113" s="248"/>
      <c r="J113" s="248"/>
      <c r="K113" s="248"/>
      <c r="L113" s="248"/>
      <c r="M113" s="248"/>
      <c r="N113" s="248"/>
      <c r="O113" s="248"/>
      <c r="P113" s="248"/>
      <c r="Q113" s="248"/>
      <c r="R113" s="248"/>
      <c r="S113" s="248"/>
      <c r="T113" s="238"/>
      <c r="U113" s="248" t="s">
        <v>442</v>
      </c>
      <c r="V113" s="248"/>
      <c r="W113" s="248"/>
      <c r="X113" s="248"/>
      <c r="Y113" s="248"/>
      <c r="Z113" s="248"/>
      <c r="AA113" s="248"/>
      <c r="AB113" s="248"/>
      <c r="AC113" s="254"/>
      <c r="AD113" s="249"/>
      <c r="AE113" s="248"/>
      <c r="AF113" s="248"/>
    </row>
    <row r="114" spans="2:32" x14ac:dyDescent="0.25">
      <c r="B114" s="247"/>
      <c r="C114" s="248"/>
      <c r="D114" s="248"/>
      <c r="E114" s="248"/>
      <c r="F114" s="248"/>
      <c r="G114" s="248"/>
      <c r="H114" s="248"/>
      <c r="I114" s="248"/>
      <c r="J114" s="248"/>
      <c r="K114" s="248"/>
      <c r="L114" s="248"/>
      <c r="M114" s="248"/>
      <c r="N114" s="248"/>
      <c r="O114" s="248"/>
      <c r="P114" s="248"/>
      <c r="Q114" s="248"/>
      <c r="R114" s="248"/>
      <c r="S114" s="248"/>
      <c r="T114" s="258"/>
      <c r="U114" s="248" t="s">
        <v>392</v>
      </c>
      <c r="V114" s="248"/>
      <c r="W114" s="248"/>
      <c r="X114" s="248"/>
      <c r="Y114" s="248"/>
      <c r="Z114" s="248"/>
      <c r="AA114" s="248"/>
      <c r="AB114" s="248"/>
      <c r="AC114" s="254"/>
      <c r="AD114" s="249"/>
      <c r="AE114" s="248"/>
      <c r="AF114" s="248"/>
    </row>
    <row r="115" spans="2:32" x14ac:dyDescent="0.25">
      <c r="B115" s="247"/>
      <c r="C115" s="248"/>
      <c r="D115" s="248"/>
      <c r="E115" s="248"/>
      <c r="F115" s="248"/>
      <c r="G115" s="248"/>
      <c r="H115" s="248"/>
      <c r="I115" s="248"/>
      <c r="J115" s="248"/>
      <c r="K115" s="248"/>
      <c r="L115" s="248"/>
      <c r="M115" s="248"/>
      <c r="N115" s="248"/>
      <c r="O115" s="248"/>
      <c r="P115" s="248"/>
      <c r="Q115" s="248"/>
      <c r="R115" s="248"/>
      <c r="S115" s="248"/>
      <c r="T115" s="259"/>
      <c r="U115" s="248" t="s">
        <v>393</v>
      </c>
      <c r="V115" s="248"/>
      <c r="W115" s="248"/>
      <c r="X115" s="248"/>
      <c r="Y115" s="248"/>
      <c r="Z115" s="248"/>
      <c r="AA115" s="248"/>
      <c r="AB115" s="248"/>
      <c r="AC115" s="254"/>
      <c r="AD115" s="249"/>
      <c r="AE115" s="248"/>
      <c r="AF115" s="248"/>
    </row>
    <row r="116" spans="2:32" x14ac:dyDescent="0.25">
      <c r="B116" s="247"/>
      <c r="C116" s="248"/>
      <c r="D116" s="248"/>
      <c r="E116" s="248"/>
      <c r="F116" s="248"/>
      <c r="G116" s="248"/>
      <c r="H116" s="248"/>
      <c r="I116" s="248"/>
      <c r="J116" s="248"/>
      <c r="K116" s="248"/>
      <c r="L116" s="248"/>
      <c r="M116" s="248"/>
      <c r="N116" s="248"/>
      <c r="O116" s="248"/>
      <c r="P116" s="248"/>
      <c r="Q116" s="248"/>
      <c r="R116" s="248"/>
      <c r="S116" s="248"/>
      <c r="T116" s="260"/>
      <c r="U116" s="248" t="s">
        <v>443</v>
      </c>
      <c r="V116" s="248"/>
      <c r="W116" s="248"/>
      <c r="X116" s="248"/>
      <c r="Y116" s="248"/>
      <c r="Z116" s="248"/>
      <c r="AA116" s="248"/>
      <c r="AB116" s="248"/>
      <c r="AC116" s="254"/>
      <c r="AD116" s="249"/>
      <c r="AE116" s="248"/>
      <c r="AF116" s="248"/>
    </row>
    <row r="117" spans="2:32" x14ac:dyDescent="0.25">
      <c r="B117" s="247"/>
      <c r="C117" s="248"/>
      <c r="D117" s="248"/>
      <c r="E117" s="248"/>
      <c r="F117" s="248"/>
      <c r="G117" s="248"/>
      <c r="H117" s="248"/>
      <c r="I117" s="248"/>
      <c r="J117" s="248"/>
      <c r="K117" s="248"/>
      <c r="L117" s="248"/>
      <c r="M117" s="248"/>
      <c r="N117" s="248"/>
      <c r="O117" s="248"/>
      <c r="P117" s="248"/>
      <c r="Q117" s="248"/>
      <c r="R117" s="248"/>
      <c r="S117" s="248"/>
      <c r="T117" s="253"/>
      <c r="U117" s="248"/>
      <c r="V117" s="248"/>
      <c r="W117" s="248"/>
      <c r="X117" s="248"/>
      <c r="Y117" s="248"/>
      <c r="Z117" s="248"/>
      <c r="AA117" s="248"/>
      <c r="AB117" s="248"/>
      <c r="AC117" s="254"/>
      <c r="AD117" s="249"/>
    </row>
    <row r="118" spans="2:32" x14ac:dyDescent="0.25">
      <c r="B118" s="247"/>
      <c r="C118" s="248"/>
      <c r="D118" s="248"/>
      <c r="E118" s="248"/>
      <c r="F118" s="248"/>
      <c r="G118" s="248"/>
      <c r="H118" s="248"/>
      <c r="I118" s="248"/>
      <c r="J118" s="248"/>
      <c r="K118" s="248"/>
      <c r="L118" s="248"/>
      <c r="M118" s="248"/>
      <c r="N118" s="248"/>
      <c r="O118" s="248"/>
      <c r="P118" s="248"/>
      <c r="Q118" s="248"/>
      <c r="R118" s="248"/>
      <c r="S118" s="248"/>
      <c r="T118" s="253"/>
      <c r="U118" s="248"/>
      <c r="V118" s="248"/>
      <c r="W118" s="248"/>
      <c r="X118" s="248"/>
      <c r="Y118" s="248"/>
      <c r="Z118" s="248"/>
      <c r="AA118" s="248"/>
      <c r="AB118" s="248"/>
      <c r="AC118" s="254"/>
      <c r="AD118" s="249"/>
    </row>
    <row r="119" spans="2:32" x14ac:dyDescent="0.25">
      <c r="B119" s="247"/>
      <c r="C119" s="248"/>
      <c r="D119" s="248"/>
      <c r="E119" s="248"/>
      <c r="F119" s="248"/>
      <c r="G119" s="248"/>
      <c r="H119" s="248"/>
      <c r="I119" s="248"/>
      <c r="J119" s="248"/>
      <c r="K119" s="248"/>
      <c r="L119" s="248"/>
      <c r="M119" s="248"/>
      <c r="N119" s="248"/>
      <c r="O119" s="248"/>
      <c r="P119" s="248"/>
      <c r="Q119" s="248"/>
      <c r="R119" s="248"/>
      <c r="S119" s="248"/>
      <c r="T119" s="253" t="s">
        <v>444</v>
      </c>
      <c r="U119" s="248"/>
      <c r="V119" s="248"/>
      <c r="W119" s="248"/>
      <c r="X119" s="248"/>
      <c r="Y119" s="248"/>
      <c r="Z119" s="248"/>
      <c r="AA119" s="248"/>
      <c r="AB119" s="248"/>
      <c r="AC119" s="254"/>
      <c r="AD119" s="249"/>
    </row>
    <row r="120" spans="2:32" x14ac:dyDescent="0.25">
      <c r="B120" s="247"/>
      <c r="C120" s="248"/>
      <c r="D120" s="248"/>
      <c r="E120" s="248"/>
      <c r="F120" s="248"/>
      <c r="G120" s="248"/>
      <c r="H120" s="248"/>
      <c r="I120" s="248"/>
      <c r="J120" s="248"/>
      <c r="K120" s="248"/>
      <c r="L120" s="248"/>
      <c r="M120" s="248"/>
      <c r="N120" s="248"/>
      <c r="O120" s="248"/>
      <c r="P120" s="248"/>
      <c r="Q120" s="248"/>
      <c r="R120" s="248"/>
      <c r="S120" s="248"/>
      <c r="T120" s="253" t="s">
        <v>445</v>
      </c>
      <c r="U120" s="248"/>
      <c r="V120" s="248"/>
      <c r="W120" s="248"/>
      <c r="X120" s="248"/>
      <c r="Y120" s="248"/>
      <c r="Z120" s="248"/>
      <c r="AA120" s="248"/>
      <c r="AB120" s="248"/>
      <c r="AC120" s="254"/>
      <c r="AD120" s="249"/>
    </row>
    <row r="121" spans="2:32" x14ac:dyDescent="0.25">
      <c r="B121" s="247"/>
      <c r="C121" s="248"/>
      <c r="D121" s="248"/>
      <c r="E121" s="248"/>
      <c r="F121" s="248"/>
      <c r="G121" s="248"/>
      <c r="H121" s="248"/>
      <c r="I121" s="248"/>
      <c r="J121" s="248"/>
      <c r="K121" s="248"/>
      <c r="L121" s="248"/>
      <c r="M121" s="248"/>
      <c r="N121" s="248"/>
      <c r="O121" s="248"/>
      <c r="P121" s="248"/>
      <c r="Q121" s="248"/>
      <c r="R121" s="248"/>
      <c r="S121" s="248"/>
      <c r="T121" s="253"/>
      <c r="U121" s="248"/>
      <c r="V121" s="248"/>
      <c r="W121" s="248"/>
      <c r="X121" s="248"/>
      <c r="Y121" s="248"/>
      <c r="Z121" s="248"/>
      <c r="AA121" s="248"/>
      <c r="AB121" s="248"/>
      <c r="AC121" s="254"/>
      <c r="AD121" s="249"/>
    </row>
    <row r="122" spans="2:32" x14ac:dyDescent="0.25">
      <c r="B122" s="247"/>
      <c r="C122" s="248"/>
      <c r="D122" s="248"/>
      <c r="E122" s="248"/>
      <c r="F122" s="248"/>
      <c r="G122" s="248"/>
      <c r="H122" s="248"/>
      <c r="I122" s="248"/>
      <c r="J122" s="248"/>
      <c r="K122" s="248"/>
      <c r="L122" s="248"/>
      <c r="M122" s="248"/>
      <c r="N122" s="248"/>
      <c r="O122" s="248"/>
      <c r="P122" s="248"/>
      <c r="Q122" s="248"/>
      <c r="R122" s="248"/>
      <c r="S122" s="248"/>
      <c r="T122" s="253" t="s">
        <v>446</v>
      </c>
      <c r="U122" s="248"/>
      <c r="V122" s="248"/>
      <c r="W122" s="248"/>
      <c r="X122" s="248"/>
      <c r="Y122" s="248"/>
      <c r="Z122" s="248"/>
      <c r="AA122" s="248"/>
      <c r="AB122" s="248"/>
      <c r="AC122" s="254"/>
      <c r="AD122" s="249"/>
    </row>
    <row r="123" spans="2:32" x14ac:dyDescent="0.25">
      <c r="B123" s="247"/>
      <c r="C123" s="248"/>
      <c r="D123" s="248"/>
      <c r="E123" s="248"/>
      <c r="F123" s="248"/>
      <c r="G123" s="248"/>
      <c r="H123" s="248"/>
      <c r="I123" s="248"/>
      <c r="J123" s="248"/>
      <c r="K123" s="248"/>
      <c r="L123" s="248"/>
      <c r="M123" s="248"/>
      <c r="N123" s="248"/>
      <c r="O123" s="248"/>
      <c r="P123" s="248"/>
      <c r="Q123" s="248"/>
      <c r="R123" s="248"/>
      <c r="S123" s="248"/>
      <c r="T123" s="253" t="s">
        <v>447</v>
      </c>
      <c r="U123" s="248"/>
      <c r="V123" s="248"/>
      <c r="W123" s="248"/>
      <c r="X123" s="248"/>
      <c r="Y123" s="248"/>
      <c r="Z123" s="248"/>
      <c r="AA123" s="248"/>
      <c r="AB123" s="248"/>
      <c r="AC123" s="254"/>
      <c r="AD123" s="249"/>
    </row>
    <row r="124" spans="2:32" x14ac:dyDescent="0.25">
      <c r="B124" s="247"/>
      <c r="C124" s="248"/>
      <c r="D124" s="248"/>
      <c r="E124" s="248"/>
      <c r="F124" s="248"/>
      <c r="G124" s="248"/>
      <c r="H124" s="248"/>
      <c r="I124" s="248"/>
      <c r="J124" s="248"/>
      <c r="K124" s="248"/>
      <c r="L124" s="248"/>
      <c r="M124" s="248"/>
      <c r="N124" s="248"/>
      <c r="O124" s="248"/>
      <c r="P124" s="248"/>
      <c r="Q124" s="248"/>
      <c r="R124" s="248"/>
      <c r="S124" s="248"/>
      <c r="T124" s="253"/>
      <c r="U124" s="248"/>
      <c r="V124" s="248"/>
      <c r="W124" s="248"/>
      <c r="X124" s="248"/>
      <c r="Y124" s="248"/>
      <c r="Z124" s="248"/>
      <c r="AA124" s="248"/>
      <c r="AB124" s="248"/>
      <c r="AC124" s="254"/>
      <c r="AD124" s="249"/>
    </row>
    <row r="125" spans="2:32" x14ac:dyDescent="0.25">
      <c r="B125" s="247"/>
      <c r="C125" s="248"/>
      <c r="D125" s="248"/>
      <c r="E125" s="248"/>
      <c r="F125" s="248"/>
      <c r="G125" s="248"/>
      <c r="H125" s="248"/>
      <c r="I125" s="248"/>
      <c r="J125" s="248"/>
      <c r="K125" s="248"/>
      <c r="L125" s="248"/>
      <c r="M125" s="248"/>
      <c r="N125" s="248"/>
      <c r="O125" s="248"/>
      <c r="P125" s="248"/>
      <c r="Q125" s="248"/>
      <c r="R125" s="248"/>
      <c r="S125" s="248"/>
      <c r="T125" s="253" t="s">
        <v>450</v>
      </c>
      <c r="U125" s="248"/>
      <c r="V125" s="248"/>
      <c r="W125" s="248"/>
      <c r="X125" s="248"/>
      <c r="Y125" s="248"/>
      <c r="Z125" s="248"/>
      <c r="AA125" s="248"/>
      <c r="AB125" s="248"/>
      <c r="AC125" s="254"/>
      <c r="AD125" s="249"/>
    </row>
    <row r="126" spans="2:32" x14ac:dyDescent="0.25">
      <c r="B126" s="247"/>
      <c r="C126" s="248"/>
      <c r="D126" s="248"/>
      <c r="E126" s="248"/>
      <c r="F126" s="248"/>
      <c r="G126" s="248"/>
      <c r="H126" s="248"/>
      <c r="I126" s="248"/>
      <c r="J126" s="248"/>
      <c r="K126" s="248"/>
      <c r="L126" s="248"/>
      <c r="M126" s="248"/>
      <c r="N126" s="248"/>
      <c r="O126" s="248"/>
      <c r="P126" s="248"/>
      <c r="Q126" s="248"/>
      <c r="R126" s="248"/>
      <c r="S126" s="248"/>
      <c r="T126" s="253" t="s">
        <v>452</v>
      </c>
      <c r="U126" s="248"/>
      <c r="V126" s="248"/>
      <c r="W126" s="248"/>
      <c r="X126" s="248"/>
      <c r="Y126" s="248"/>
      <c r="Z126" s="248"/>
      <c r="AA126" s="248"/>
      <c r="AB126" s="248"/>
      <c r="AC126" s="254"/>
      <c r="AD126" s="249"/>
    </row>
    <row r="127" spans="2:32" x14ac:dyDescent="0.25">
      <c r="B127" s="247"/>
      <c r="C127" s="248"/>
      <c r="D127" s="248"/>
      <c r="E127" s="248"/>
      <c r="F127" s="248"/>
      <c r="G127" s="248"/>
      <c r="H127" s="248"/>
      <c r="I127" s="248"/>
      <c r="J127" s="248"/>
      <c r="K127" s="248"/>
      <c r="L127" s="248"/>
      <c r="M127" s="248"/>
      <c r="N127" s="248"/>
      <c r="O127" s="248"/>
      <c r="P127" s="248"/>
      <c r="Q127" s="248"/>
      <c r="R127" s="248"/>
      <c r="S127" s="248"/>
      <c r="T127" s="253" t="s">
        <v>451</v>
      </c>
      <c r="U127" s="248"/>
      <c r="V127" s="248"/>
      <c r="W127" s="248"/>
      <c r="X127" s="248"/>
      <c r="Y127" s="248"/>
      <c r="Z127" s="248"/>
      <c r="AA127" s="248"/>
      <c r="AB127" s="248"/>
      <c r="AC127" s="254"/>
      <c r="AD127" s="249"/>
    </row>
    <row r="128" spans="2:32" x14ac:dyDescent="0.25">
      <c r="B128" s="247"/>
      <c r="C128" s="248"/>
      <c r="D128" s="248"/>
      <c r="E128" s="248"/>
      <c r="F128" s="248"/>
      <c r="G128" s="248"/>
      <c r="H128" s="248"/>
      <c r="I128" s="248"/>
      <c r="J128" s="248"/>
      <c r="K128" s="248"/>
      <c r="L128" s="248"/>
      <c r="M128" s="248"/>
      <c r="N128" s="248"/>
      <c r="O128" s="248"/>
      <c r="P128" s="248"/>
      <c r="Q128" s="248"/>
      <c r="R128" s="248"/>
      <c r="S128" s="248"/>
      <c r="T128" s="253"/>
      <c r="U128" s="248"/>
      <c r="V128" s="248"/>
      <c r="W128" s="248"/>
      <c r="X128" s="248"/>
      <c r="Y128" s="248"/>
      <c r="Z128" s="248"/>
      <c r="AA128" s="248"/>
      <c r="AB128" s="248"/>
      <c r="AC128" s="254"/>
      <c r="AD128" s="249"/>
    </row>
    <row r="129" spans="2:30" x14ac:dyDescent="0.25">
      <c r="B129" s="247"/>
      <c r="C129" s="248"/>
      <c r="D129" s="248"/>
      <c r="E129" s="248"/>
      <c r="F129" s="248"/>
      <c r="G129" s="248"/>
      <c r="H129" s="248"/>
      <c r="I129" s="248"/>
      <c r="J129" s="248"/>
      <c r="K129" s="248"/>
      <c r="L129" s="248"/>
      <c r="M129" s="248"/>
      <c r="N129" s="248"/>
      <c r="O129" s="248"/>
      <c r="P129" s="248"/>
      <c r="Q129" s="248"/>
      <c r="R129" s="248"/>
      <c r="S129" s="248"/>
      <c r="T129" s="255"/>
      <c r="U129" s="256"/>
      <c r="V129" s="256"/>
      <c r="W129" s="256"/>
      <c r="X129" s="256"/>
      <c r="Y129" s="256"/>
      <c r="Z129" s="256"/>
      <c r="AA129" s="256"/>
      <c r="AB129" s="256"/>
      <c r="AC129" s="257"/>
      <c r="AD129" s="249"/>
    </row>
    <row r="130" spans="2:30" x14ac:dyDescent="0.25">
      <c r="B130" s="247"/>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9"/>
    </row>
    <row r="131" spans="2:30" x14ac:dyDescent="0.25">
      <c r="B131" s="247"/>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9"/>
    </row>
    <row r="132" spans="2:30" ht="15.75" thickBot="1" x14ac:dyDescent="0.3">
      <c r="B132" s="247"/>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9"/>
    </row>
    <row r="133" spans="2:30" ht="15.75" thickTop="1" x14ac:dyDescent="0.25">
      <c r="B133" s="245"/>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row>
    <row r="134" spans="2:30" x14ac:dyDescent="0.25">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row>
    <row r="135" spans="2:30" x14ac:dyDescent="0.25">
      <c r="L135" s="242"/>
      <c r="M135" s="242"/>
      <c r="N135" s="242"/>
      <c r="O135" s="242"/>
      <c r="P135" s="242"/>
      <c r="Q135" s="242"/>
    </row>
    <row r="136" spans="2:30" ht="15.75" thickBot="1" x14ac:dyDescent="0.3">
      <c r="B136" s="243" t="s">
        <v>9</v>
      </c>
      <c r="K136" s="242"/>
      <c r="L136" s="242"/>
      <c r="M136" s="242"/>
      <c r="N136" s="242"/>
      <c r="O136" s="242"/>
      <c r="P136" s="242"/>
    </row>
    <row r="137" spans="2:30" x14ac:dyDescent="0.25">
      <c r="K137" s="242"/>
      <c r="L137" s="242"/>
      <c r="M137" s="242"/>
      <c r="N137" s="242"/>
      <c r="O137" s="242"/>
      <c r="P137" s="242"/>
    </row>
    <row r="138" spans="2:30" x14ac:dyDescent="0.25">
      <c r="K138" s="242"/>
      <c r="L138" s="242"/>
      <c r="M138" s="242"/>
      <c r="N138" s="242"/>
      <c r="O138" s="242"/>
      <c r="P138" s="242"/>
    </row>
    <row r="139" spans="2:30" x14ac:dyDescent="0.25">
      <c r="K139" s="242"/>
      <c r="L139" s="242"/>
      <c r="M139" s="242"/>
      <c r="N139" s="242"/>
      <c r="O139" s="242"/>
      <c r="P139" s="242"/>
    </row>
    <row r="140" spans="2:30" x14ac:dyDescent="0.25">
      <c r="K140" s="242"/>
      <c r="L140" s="242"/>
      <c r="M140" s="242"/>
      <c r="N140" s="242"/>
      <c r="O140" s="242"/>
      <c r="P140" s="242"/>
    </row>
    <row r="141" spans="2:30" x14ac:dyDescent="0.25">
      <c r="K141" s="242"/>
      <c r="L141" s="242"/>
      <c r="M141" s="242"/>
      <c r="N141" s="242"/>
      <c r="O141" s="242"/>
      <c r="P141" s="242"/>
    </row>
    <row r="142" spans="2:30" x14ac:dyDescent="0.25">
      <c r="K142" s="242"/>
      <c r="L142" s="242"/>
      <c r="M142" s="242"/>
      <c r="N142" s="242"/>
      <c r="O142" s="242"/>
      <c r="P142" s="242"/>
    </row>
    <row r="143" spans="2:30" x14ac:dyDescent="0.25">
      <c r="K143" s="242"/>
      <c r="L143" s="242"/>
      <c r="M143" s="242"/>
      <c r="N143" s="242"/>
      <c r="O143" s="242"/>
      <c r="P143" s="242"/>
    </row>
    <row r="144" spans="2:30" x14ac:dyDescent="0.25">
      <c r="K144" s="242"/>
      <c r="L144" s="242"/>
      <c r="M144" s="242"/>
      <c r="N144" s="242"/>
      <c r="O144" s="242"/>
      <c r="P144" s="242"/>
    </row>
    <row r="145" spans="2:16" x14ac:dyDescent="0.25">
      <c r="K145" s="242"/>
      <c r="L145" s="242"/>
      <c r="M145" s="242"/>
      <c r="N145" s="242"/>
      <c r="O145" s="242"/>
      <c r="P145" s="242"/>
    </row>
    <row r="146" spans="2:16" x14ac:dyDescent="0.25">
      <c r="K146" s="242"/>
      <c r="L146" s="242"/>
      <c r="M146" s="242"/>
      <c r="N146" s="242"/>
      <c r="O146" s="242"/>
      <c r="P146" s="242"/>
    </row>
    <row r="147" spans="2:16" ht="15.75" thickBot="1" x14ac:dyDescent="0.3">
      <c r="B147" s="243" t="s">
        <v>350</v>
      </c>
      <c r="K147" s="242"/>
      <c r="L147" s="242"/>
      <c r="M147" s="242"/>
      <c r="N147" s="242"/>
      <c r="O147" s="242"/>
      <c r="P147" s="242"/>
    </row>
    <row r="148" spans="2:16" x14ac:dyDescent="0.25">
      <c r="K148" s="242"/>
      <c r="L148" s="242"/>
      <c r="M148" s="242"/>
      <c r="N148" s="242"/>
      <c r="O148" s="242"/>
      <c r="P148" s="242"/>
    </row>
    <row r="149" spans="2:16" x14ac:dyDescent="0.25">
      <c r="K149" s="242"/>
      <c r="L149" s="242"/>
      <c r="M149" s="242"/>
      <c r="N149" s="242"/>
      <c r="O149" s="242"/>
      <c r="P149" s="242"/>
    </row>
    <row r="150" spans="2:16" x14ac:dyDescent="0.25">
      <c r="K150" s="242"/>
      <c r="L150" s="242"/>
      <c r="M150" s="242"/>
      <c r="N150" s="242"/>
      <c r="O150" s="242"/>
      <c r="P150" s="242"/>
    </row>
    <row r="151" spans="2:16" x14ac:dyDescent="0.25">
      <c r="K151" s="242"/>
      <c r="L151" s="242"/>
      <c r="M151" s="242"/>
      <c r="N151" s="242"/>
      <c r="O151" s="242"/>
      <c r="P151" s="242"/>
    </row>
    <row r="152" spans="2:16" x14ac:dyDescent="0.25">
      <c r="K152" s="242"/>
      <c r="L152" s="242"/>
      <c r="M152" s="242"/>
      <c r="N152" s="242"/>
      <c r="O152" s="242"/>
      <c r="P152" s="242"/>
    </row>
    <row r="153" spans="2:16" x14ac:dyDescent="0.25">
      <c r="K153" s="242"/>
      <c r="L153" s="242"/>
      <c r="M153" s="242"/>
      <c r="N153" s="242"/>
      <c r="O153" s="242"/>
      <c r="P153" s="242"/>
    </row>
    <row r="154" spans="2:16" x14ac:dyDescent="0.25">
      <c r="K154" s="242"/>
      <c r="L154" s="242"/>
      <c r="M154" s="242"/>
      <c r="N154" s="242"/>
      <c r="O154" s="242"/>
      <c r="P154" s="242"/>
    </row>
    <row r="155" spans="2:16" x14ac:dyDescent="0.25">
      <c r="K155" s="242"/>
      <c r="L155" s="242"/>
      <c r="M155" s="242"/>
      <c r="N155" s="242"/>
      <c r="O155" s="242"/>
      <c r="P155" s="242"/>
    </row>
    <row r="156" spans="2:16" x14ac:dyDescent="0.25">
      <c r="K156" s="242"/>
      <c r="L156" s="242"/>
      <c r="M156" s="242"/>
      <c r="N156" s="242"/>
      <c r="O156" s="242"/>
      <c r="P156" s="242"/>
    </row>
    <row r="157" spans="2:16" x14ac:dyDescent="0.25">
      <c r="K157" s="242"/>
      <c r="L157" s="242"/>
      <c r="M157" s="242"/>
      <c r="N157" s="242"/>
      <c r="O157" s="242"/>
      <c r="P157" s="242"/>
    </row>
    <row r="158" spans="2:16" x14ac:dyDescent="0.25">
      <c r="K158" s="242"/>
      <c r="L158" s="242"/>
      <c r="M158" s="242"/>
      <c r="N158" s="242"/>
      <c r="O158" s="242"/>
      <c r="P158" s="242"/>
    </row>
    <row r="159" spans="2:16" x14ac:dyDescent="0.25">
      <c r="K159" s="242"/>
      <c r="L159" s="242"/>
      <c r="M159" s="242"/>
      <c r="N159" s="242"/>
      <c r="O159" s="242"/>
      <c r="P159" s="242"/>
    </row>
    <row r="160" spans="2:16" ht="15.75" thickBot="1" x14ac:dyDescent="0.3">
      <c r="B160" s="243" t="s">
        <v>144</v>
      </c>
      <c r="K160" s="242"/>
      <c r="L160" s="242"/>
      <c r="M160" s="242"/>
      <c r="N160" s="242"/>
      <c r="O160" s="242"/>
      <c r="P160" s="242"/>
    </row>
    <row r="161" spans="11:17" x14ac:dyDescent="0.25">
      <c r="K161" s="242"/>
      <c r="L161" s="242"/>
      <c r="M161" s="242"/>
      <c r="N161" s="242"/>
      <c r="O161" s="242"/>
      <c r="P161" s="242"/>
    </row>
    <row r="162" spans="11:17" x14ac:dyDescent="0.25">
      <c r="K162" s="242"/>
      <c r="L162" s="242"/>
      <c r="M162" s="242"/>
      <c r="N162" s="242"/>
      <c r="O162" s="242"/>
      <c r="P162" s="242"/>
    </row>
    <row r="163" spans="11:17" x14ac:dyDescent="0.25">
      <c r="K163" s="242"/>
      <c r="L163" s="242"/>
      <c r="M163" s="242"/>
      <c r="N163" s="242"/>
      <c r="O163" s="242"/>
      <c r="P163" s="242"/>
    </row>
    <row r="164" spans="11:17" x14ac:dyDescent="0.25">
      <c r="K164" s="242"/>
      <c r="L164" s="242"/>
      <c r="M164" s="242"/>
      <c r="N164" s="242"/>
      <c r="O164" s="242"/>
      <c r="P164" s="242"/>
    </row>
    <row r="165" spans="11:17" x14ac:dyDescent="0.25">
      <c r="K165" s="242"/>
      <c r="L165" s="242"/>
      <c r="M165" s="242"/>
      <c r="N165" s="242"/>
      <c r="O165" s="242"/>
      <c r="P165" s="242"/>
    </row>
    <row r="166" spans="11:17" x14ac:dyDescent="0.25">
      <c r="K166" s="242"/>
      <c r="L166" s="242"/>
      <c r="M166" s="242"/>
      <c r="N166" s="242"/>
      <c r="O166" s="242"/>
      <c r="P166" s="242"/>
    </row>
    <row r="167" spans="11:17" x14ac:dyDescent="0.25">
      <c r="K167" s="242"/>
      <c r="L167" s="242"/>
      <c r="M167" s="242"/>
      <c r="N167" s="242"/>
      <c r="O167" s="242"/>
      <c r="P167" s="242"/>
    </row>
    <row r="168" spans="11:17" x14ac:dyDescent="0.25">
      <c r="L168" s="242"/>
      <c r="M168" s="242"/>
      <c r="N168" s="242"/>
      <c r="O168" s="242"/>
      <c r="P168" s="242"/>
      <c r="Q168" s="242"/>
    </row>
  </sheetData>
  <sheetProtection password="EA8D" sheet="1" objects="1" scenarios="1"/>
  <mergeCells count="2">
    <mergeCell ref="B9:J9"/>
    <mergeCell ref="B42:G42"/>
  </mergeCells>
  <hyperlinks>
    <hyperlink ref="B9" r:id="rId1" display="Klicka här för att se riktlinjerna (internetlänk)."/>
    <hyperlink ref="B42" r:id="rId2"/>
    <hyperlink ref="B9:F9" r:id="rId3" display="Klicka här för att se riktlinjerna (internetlänk till första versionen)."/>
    <hyperlink ref="B9:I9" r:id="rId4" display="Klicka här för att se riktlinjerna (internetlänk till första versionen, STEMFS 2011:1)."/>
    <hyperlink ref="B9:J9" r:id="rId5" display="Klicka här för att se föreskrifterna STEMFS2011:2 (internetlänk)."/>
    <hyperlink ref="B42:G42" r:id="rId6" display="Klicka här för att komma till vägledningen (internetlänk)"/>
  </hyperlinks>
  <pageMargins left="0.7" right="0.7" top="0.75" bottom="0.75" header="0.3" footer="0.3"/>
  <pageSetup paperSize="9" orientation="portrait" r:id="rId7"/>
  <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XFA208"/>
  <sheetViews>
    <sheetView showGridLines="0" tabSelected="1" zoomScale="70" zoomScaleNormal="70" workbookViewId="0">
      <selection activeCell="G83" sqref="G83"/>
    </sheetView>
  </sheetViews>
  <sheetFormatPr defaultRowHeight="15" x14ac:dyDescent="0.25"/>
  <cols>
    <col min="1" max="1" width="9.140625" style="150"/>
    <col min="2" max="2" width="46.28515625" customWidth="1"/>
    <col min="3" max="3" width="2.85546875" style="161" customWidth="1"/>
    <col min="4" max="4" width="30.140625" customWidth="1"/>
    <col min="5" max="5" width="12.28515625" customWidth="1"/>
    <col min="6" max="6" width="9.85546875" customWidth="1"/>
    <col min="7" max="7" width="25" customWidth="1"/>
    <col min="8" max="8" width="24.42578125" customWidth="1"/>
    <col min="9" max="9" width="15" customWidth="1"/>
    <col min="10" max="10" width="27.5703125" customWidth="1"/>
    <col min="12" max="12" width="16.7109375" customWidth="1"/>
    <col min="13" max="13" width="44.7109375" customWidth="1"/>
    <col min="14" max="14" width="16.7109375" customWidth="1"/>
    <col min="15" max="15" width="21.7109375" customWidth="1"/>
  </cols>
  <sheetData>
    <row r="1" spans="1:18" ht="19.5" x14ac:dyDescent="0.3">
      <c r="B1" s="324"/>
      <c r="C1" s="324"/>
      <c r="D1" s="324"/>
      <c r="E1" s="324"/>
      <c r="F1" s="324"/>
      <c r="G1" s="324"/>
      <c r="H1" s="324"/>
      <c r="I1" s="324"/>
      <c r="J1" s="324"/>
      <c r="K1" s="324"/>
      <c r="L1" s="324"/>
      <c r="M1" s="324"/>
      <c r="N1" s="324"/>
      <c r="O1" s="324"/>
      <c r="P1" s="75"/>
      <c r="Q1" s="75"/>
    </row>
    <row r="2" spans="1:18" ht="26.25" x14ac:dyDescent="0.4">
      <c r="B2" s="199"/>
      <c r="C2" s="198" t="s">
        <v>534</v>
      </c>
      <c r="D2" s="199"/>
      <c r="E2" s="173"/>
      <c r="F2" s="173"/>
      <c r="G2" s="173"/>
      <c r="H2" s="173"/>
      <c r="I2" s="173"/>
      <c r="J2" s="173"/>
      <c r="K2" s="173"/>
      <c r="L2" s="173"/>
      <c r="M2" s="194"/>
      <c r="N2" s="173"/>
      <c r="O2" s="173"/>
      <c r="P2" s="173"/>
      <c r="Q2" s="75"/>
    </row>
    <row r="3" spans="1:18" x14ac:dyDescent="0.25">
      <c r="B3" s="173"/>
      <c r="C3" s="173"/>
      <c r="D3" s="173"/>
      <c r="E3" s="173" t="s">
        <v>580</v>
      </c>
      <c r="F3" s="173" t="s">
        <v>621</v>
      </c>
      <c r="G3" s="173"/>
      <c r="H3" s="193" t="s">
        <v>403</v>
      </c>
      <c r="I3" s="173"/>
      <c r="J3" s="173"/>
      <c r="K3" s="173"/>
      <c r="L3" s="173"/>
      <c r="M3" s="173"/>
      <c r="N3" s="173"/>
      <c r="O3" s="173"/>
      <c r="P3" s="173"/>
      <c r="Q3" s="75"/>
    </row>
    <row r="4" spans="1:18" ht="24.75" x14ac:dyDescent="0.45">
      <c r="B4" s="173"/>
      <c r="C4" s="174" t="s">
        <v>453</v>
      </c>
      <c r="D4" s="193" t="s">
        <v>465</v>
      </c>
      <c r="E4" s="163" t="str">
        <f>IF($I$27,"Ingår ej",N56*F4)</f>
        <v>Ingår ej</v>
      </c>
      <c r="F4" s="234">
        <f>IF($D$62="Okänd",VLOOKUP($D$36,Indata!$1:$1048576,38,FALSE),$H$67)</f>
        <v>0.7142857142857143</v>
      </c>
      <c r="G4" s="173"/>
      <c r="H4" s="173"/>
      <c r="I4" s="173"/>
      <c r="J4" s="173"/>
      <c r="K4" s="173"/>
      <c r="L4" s="173"/>
      <c r="M4" s="173"/>
      <c r="N4" s="175"/>
      <c r="O4" s="173"/>
      <c r="P4" s="173"/>
      <c r="Q4" s="197"/>
      <c r="R4" s="75"/>
    </row>
    <row r="5" spans="1:18" ht="24" x14ac:dyDescent="0.45">
      <c r="B5" s="173"/>
      <c r="C5" s="174" t="s">
        <v>454</v>
      </c>
      <c r="D5" s="193" t="s">
        <v>464</v>
      </c>
      <c r="E5" s="233" t="str">
        <f>IF($I$27,"Ingår ej",IF(D53="Okänt om LUC förekommer",H54*F5,IF(D53="Nej","0.00",D54*F5)))</f>
        <v>Ingår ej</v>
      </c>
      <c r="F5" s="234">
        <f>IF($D$62="Okänd",VLOOKUP($D$36,Indata!$1:$1048576,38,FALSE),$H$67)</f>
        <v>0.7142857142857143</v>
      </c>
      <c r="G5" s="173"/>
      <c r="H5" s="173"/>
      <c r="I5" s="173"/>
      <c r="J5" s="173"/>
      <c r="K5" s="173"/>
      <c r="L5" s="173"/>
      <c r="M5" s="173"/>
      <c r="N5" s="173"/>
      <c r="O5" s="173"/>
      <c r="P5" s="173"/>
      <c r="Q5" s="197"/>
      <c r="R5" s="75"/>
    </row>
    <row r="6" spans="1:18" ht="24.75" x14ac:dyDescent="0.45">
      <c r="B6" s="173"/>
      <c r="C6" s="174" t="s">
        <v>455</v>
      </c>
      <c r="D6" s="193" t="s">
        <v>463</v>
      </c>
      <c r="E6" s="163" t="str">
        <f>IF($I$27,"Ingår ej",SUBTOTAL(9,E7:E8))</f>
        <v>Ingår ej</v>
      </c>
      <c r="F6" s="234"/>
      <c r="G6" s="173"/>
      <c r="H6" s="173"/>
      <c r="I6" s="173"/>
      <c r="J6" s="173"/>
      <c r="K6" s="173"/>
      <c r="L6" s="173"/>
      <c r="M6" s="173"/>
      <c r="N6" s="173"/>
      <c r="O6" s="173"/>
      <c r="P6" s="175"/>
      <c r="Q6" s="197"/>
      <c r="R6" s="75"/>
    </row>
    <row r="7" spans="1:18" s="229" customFormat="1" ht="23.25" x14ac:dyDescent="0.35">
      <c r="A7" s="228"/>
      <c r="B7" s="173"/>
      <c r="C7" s="174"/>
      <c r="D7" s="309" t="s">
        <v>675</v>
      </c>
      <c r="E7" s="306" t="str">
        <f>IF($I$27,"Ingår ej",($N$63*F7-$N$88))</f>
        <v>Ingår ej</v>
      </c>
      <c r="F7" s="234">
        <f>IF($D$62="Okänd",VLOOKUP($D$36,Indata!$1:$1048576,38,FALSE),$H$67)</f>
        <v>0.7142857142857143</v>
      </c>
      <c r="G7" s="173"/>
      <c r="H7" s="173"/>
      <c r="I7" s="173"/>
      <c r="J7" s="173"/>
      <c r="K7" s="173"/>
      <c r="L7" s="173"/>
      <c r="M7" s="173"/>
      <c r="N7" s="173"/>
      <c r="O7" s="173"/>
      <c r="P7" s="175"/>
      <c r="Q7" s="197"/>
      <c r="R7" s="75"/>
    </row>
    <row r="8" spans="1:18" s="229" customFormat="1" ht="23.25" x14ac:dyDescent="0.35">
      <c r="A8" s="228"/>
      <c r="B8" s="173"/>
      <c r="C8" s="174"/>
      <c r="D8" s="236" t="s">
        <v>643</v>
      </c>
      <c r="E8" s="306" t="str">
        <f>IF($I$27,"Ingår ej",N95)</f>
        <v>Ingår ej</v>
      </c>
      <c r="F8" s="234">
        <v>1</v>
      </c>
      <c r="G8" s="173"/>
      <c r="H8" s="173"/>
      <c r="I8" s="173"/>
      <c r="J8" s="173"/>
      <c r="K8" s="173"/>
      <c r="L8" s="173"/>
      <c r="M8" s="173"/>
      <c r="N8" s="173"/>
      <c r="O8" s="173"/>
      <c r="P8" s="175"/>
      <c r="Q8" s="197"/>
      <c r="R8" s="75"/>
    </row>
    <row r="9" spans="1:18" ht="24" x14ac:dyDescent="0.45">
      <c r="B9" s="173"/>
      <c r="C9" s="174" t="s">
        <v>456</v>
      </c>
      <c r="D9" s="193" t="s">
        <v>462</v>
      </c>
      <c r="E9" s="163" t="str">
        <f>IF($I$27,"Ingår ej","0.00")</f>
        <v>Ingår ej</v>
      </c>
      <c r="F9" s="234">
        <f>IF($D$62="Okänd",VLOOKUP($D$36,Indata!$1:$1048576,38,FALSE),$H$67)</f>
        <v>0.7142857142857143</v>
      </c>
      <c r="G9" s="173"/>
      <c r="H9" s="173"/>
      <c r="I9" s="173"/>
      <c r="J9" s="173"/>
      <c r="K9" s="173"/>
      <c r="L9" s="173"/>
      <c r="M9" s="173"/>
      <c r="N9" s="173"/>
      <c r="O9" s="173"/>
      <c r="P9" s="173"/>
      <c r="Q9" s="197"/>
      <c r="R9" s="75"/>
    </row>
    <row r="10" spans="1:18" ht="24" x14ac:dyDescent="0.45">
      <c r="B10" s="173"/>
      <c r="C10" s="174" t="s">
        <v>457</v>
      </c>
      <c r="D10" s="193" t="s">
        <v>676</v>
      </c>
      <c r="E10" s="163" t="str">
        <f>IF($I$27,"Ingår ej","0.00")</f>
        <v>Ingår ej</v>
      </c>
      <c r="F10" s="234">
        <v>1</v>
      </c>
      <c r="G10" s="173"/>
      <c r="H10" s="173"/>
      <c r="I10" s="173"/>
      <c r="J10" s="173"/>
      <c r="K10" s="173"/>
      <c r="L10" s="173"/>
      <c r="M10" s="173"/>
      <c r="N10" s="173"/>
      <c r="O10" s="173"/>
      <c r="P10" s="173"/>
      <c r="Q10" s="197"/>
      <c r="R10" s="75"/>
    </row>
    <row r="11" spans="1:18" ht="31.5" x14ac:dyDescent="0.5">
      <c r="B11" s="173"/>
      <c r="C11" s="174" t="s">
        <v>458</v>
      </c>
      <c r="D11" s="193" t="s">
        <v>461</v>
      </c>
      <c r="E11" s="163">
        <f>SUBTOTAL(9,E12:E14)</f>
        <v>3.1701558527647338</v>
      </c>
      <c r="F11" s="234"/>
      <c r="G11" s="173"/>
      <c r="H11" s="173"/>
      <c r="I11" s="173"/>
      <c r="J11" s="173"/>
      <c r="K11" s="173"/>
      <c r="L11" s="173"/>
      <c r="M11" s="321" t="s">
        <v>533</v>
      </c>
      <c r="N11" s="322"/>
      <c r="O11" s="202">
        <f>($I$19-$E$19)/$I$19</f>
        <v>0.95882914476928915</v>
      </c>
      <c r="P11" s="173"/>
      <c r="Q11" s="197"/>
      <c r="R11" s="75"/>
    </row>
    <row r="12" spans="1:18" x14ac:dyDescent="0.25">
      <c r="B12" s="173"/>
      <c r="C12" s="176"/>
      <c r="D12" s="308" t="s">
        <v>674</v>
      </c>
      <c r="E12" s="307">
        <f>N137+N181+N204</f>
        <v>0.53348572614899559</v>
      </c>
      <c r="F12" s="234">
        <v>1</v>
      </c>
      <c r="G12" s="173"/>
      <c r="H12" s="173"/>
      <c r="I12" s="173"/>
      <c r="J12" s="173"/>
      <c r="K12" s="173"/>
      <c r="L12" s="173"/>
      <c r="M12" s="173"/>
      <c r="N12" s="173"/>
      <c r="O12" s="173"/>
      <c r="P12" s="173"/>
      <c r="Q12" s="197"/>
      <c r="R12" s="75"/>
    </row>
    <row r="13" spans="1:18" x14ac:dyDescent="0.25">
      <c r="B13" s="173"/>
      <c r="C13" s="176"/>
      <c r="D13" s="177" t="s">
        <v>9</v>
      </c>
      <c r="E13" s="307">
        <f>N119+N163+N194</f>
        <v>0.14885247583732059</v>
      </c>
      <c r="F13" s="234">
        <v>1</v>
      </c>
      <c r="G13" s="173"/>
      <c r="H13" s="173"/>
      <c r="I13" s="173"/>
      <c r="J13" s="173"/>
      <c r="K13" s="173"/>
      <c r="L13" s="173"/>
      <c r="M13" s="173"/>
      <c r="N13" s="173"/>
      <c r="O13" s="173"/>
      <c r="P13" s="173"/>
      <c r="Q13" s="197"/>
      <c r="R13" s="75"/>
    </row>
    <row r="14" spans="1:18" x14ac:dyDescent="0.25">
      <c r="B14" s="173"/>
      <c r="C14" s="176"/>
      <c r="D14" s="177" t="s">
        <v>350</v>
      </c>
      <c r="E14" s="307">
        <f>N126+N148+N170</f>
        <v>2.4878176507784175</v>
      </c>
      <c r="F14" s="234">
        <v>1</v>
      </c>
      <c r="G14" s="173"/>
      <c r="H14" s="173"/>
      <c r="I14" s="173"/>
      <c r="J14" s="173"/>
      <c r="K14" s="173"/>
      <c r="L14" s="173"/>
      <c r="M14" s="173"/>
      <c r="N14" s="173"/>
      <c r="O14" s="173"/>
      <c r="P14" s="173"/>
      <c r="Q14" s="197"/>
      <c r="R14" s="75"/>
    </row>
    <row r="15" spans="1:18" x14ac:dyDescent="0.25">
      <c r="B15" s="173"/>
      <c r="C15" s="176"/>
      <c r="D15" s="173"/>
      <c r="E15" s="178"/>
      <c r="F15" s="178"/>
      <c r="G15" s="173"/>
      <c r="H15" s="173"/>
      <c r="I15" s="173"/>
      <c r="J15" s="173"/>
      <c r="K15" s="173"/>
      <c r="L15" s="173"/>
      <c r="M15" s="173"/>
      <c r="N15" s="173"/>
      <c r="O15" s="173"/>
      <c r="P15" s="173"/>
      <c r="Q15" s="197"/>
      <c r="R15" s="75"/>
    </row>
    <row r="16" spans="1:18" ht="24" x14ac:dyDescent="0.45">
      <c r="B16" s="173"/>
      <c r="C16" s="174" t="s">
        <v>459</v>
      </c>
      <c r="D16" s="193" t="s">
        <v>460</v>
      </c>
      <c r="E16" s="163">
        <v>0</v>
      </c>
      <c r="F16" s="234">
        <v>1</v>
      </c>
      <c r="G16" s="173"/>
      <c r="H16" s="173"/>
      <c r="I16" s="173"/>
      <c r="J16" s="173"/>
      <c r="K16" s="173"/>
      <c r="L16" s="173"/>
      <c r="M16" s="173"/>
      <c r="N16" s="173"/>
      <c r="O16" s="173"/>
      <c r="P16" s="173"/>
      <c r="Q16" s="197"/>
      <c r="R16" s="75"/>
    </row>
    <row r="17" spans="1:18" x14ac:dyDescent="0.25">
      <c r="B17" s="173"/>
      <c r="C17" s="176"/>
      <c r="D17" s="193" t="s">
        <v>349</v>
      </c>
      <c r="E17" s="163">
        <v>0</v>
      </c>
      <c r="F17" s="234">
        <v>1</v>
      </c>
      <c r="G17" s="173"/>
      <c r="H17" s="173"/>
      <c r="I17" s="173"/>
      <c r="J17" s="173"/>
      <c r="K17" s="173"/>
      <c r="L17" s="173"/>
      <c r="M17" s="173"/>
      <c r="N17" s="173"/>
      <c r="O17" s="173"/>
      <c r="P17" s="173"/>
      <c r="Q17" s="197"/>
      <c r="R17" s="75"/>
    </row>
    <row r="18" spans="1:18" x14ac:dyDescent="0.25">
      <c r="B18" s="173"/>
      <c r="C18" s="173"/>
      <c r="D18" s="173"/>
      <c r="E18" s="178"/>
      <c r="F18" s="178"/>
      <c r="G18" s="173"/>
      <c r="H18" s="173"/>
      <c r="I18" s="173"/>
      <c r="J18" s="173"/>
      <c r="K18" s="173"/>
      <c r="L18" s="173"/>
      <c r="M18" s="173"/>
      <c r="N18" s="173"/>
      <c r="O18" s="173"/>
      <c r="P18" s="173"/>
      <c r="Q18" s="197"/>
      <c r="R18" s="75"/>
    </row>
    <row r="19" spans="1:18" ht="23.25" x14ac:dyDescent="0.35">
      <c r="B19" s="173"/>
      <c r="C19" s="179" t="s">
        <v>466</v>
      </c>
      <c r="D19" s="195" t="s">
        <v>467</v>
      </c>
      <c r="E19" s="163">
        <f>SUBTOTAL(9,E4:E18)</f>
        <v>3.1701558527647338</v>
      </c>
      <c r="F19" s="173" t="s">
        <v>398</v>
      </c>
      <c r="G19" s="173"/>
      <c r="H19" s="173" t="s">
        <v>468</v>
      </c>
      <c r="I19" s="101">
        <f>VLOOKUP($D$25,Indata!1:1048576,26,FALSE)</f>
        <v>77</v>
      </c>
      <c r="J19" s="173" t="s">
        <v>360</v>
      </c>
      <c r="K19" s="173"/>
      <c r="L19" s="173"/>
      <c r="M19" s="173"/>
      <c r="N19" s="195"/>
      <c r="O19" s="173"/>
      <c r="P19" s="173"/>
      <c r="Q19" s="197"/>
      <c r="R19" s="75"/>
    </row>
    <row r="20" spans="1:18" x14ac:dyDescent="0.25">
      <c r="B20" s="173"/>
      <c r="C20" s="173"/>
      <c r="D20" s="173"/>
      <c r="E20" s="173"/>
      <c r="F20" s="173"/>
      <c r="G20" s="173"/>
      <c r="H20" s="173"/>
      <c r="I20" s="173"/>
      <c r="J20" s="173"/>
      <c r="K20" s="173"/>
      <c r="L20" s="173"/>
      <c r="M20" s="173" t="s">
        <v>289</v>
      </c>
      <c r="N20" s="196">
        <f ca="1">NOW()</f>
        <v>42235.632667245372</v>
      </c>
      <c r="O20" s="173"/>
      <c r="P20" s="173"/>
      <c r="Q20" s="75"/>
    </row>
    <row r="21" spans="1:18" s="2" customFormat="1" x14ac:dyDescent="0.25">
      <c r="A21" s="149"/>
      <c r="B21" s="197"/>
      <c r="C21" s="197"/>
      <c r="D21" s="197"/>
      <c r="E21" s="197"/>
      <c r="F21" s="197"/>
      <c r="G21" s="197"/>
      <c r="H21" s="197"/>
      <c r="I21" s="197"/>
      <c r="J21" s="197"/>
      <c r="K21" s="197"/>
      <c r="L21" s="197"/>
      <c r="M21" s="197"/>
      <c r="N21" s="200"/>
      <c r="O21" s="197"/>
      <c r="P21" s="197"/>
    </row>
    <row r="22" spans="1:18" s="2" customFormat="1" ht="33.75" customHeight="1" x14ac:dyDescent="0.5">
      <c r="A22" s="149"/>
      <c r="B22" s="328" t="s">
        <v>535</v>
      </c>
      <c r="C22" s="328"/>
      <c r="D22" s="328"/>
      <c r="E22" s="328"/>
      <c r="F22" s="328"/>
      <c r="G22" s="328"/>
      <c r="H22" s="328"/>
      <c r="I22" s="328"/>
      <c r="J22" s="328"/>
      <c r="K22" s="328"/>
      <c r="L22" s="328"/>
      <c r="M22" s="328"/>
      <c r="N22" s="328"/>
      <c r="O22" s="328"/>
      <c r="P22" s="328"/>
      <c r="Q22" s="328"/>
    </row>
    <row r="23" spans="1:18" ht="21" customHeight="1" x14ac:dyDescent="0.3">
      <c r="B23" s="180" t="s">
        <v>405</v>
      </c>
      <c r="C23" s="201" t="s">
        <v>436</v>
      </c>
      <c r="D23" s="299" t="s">
        <v>523</v>
      </c>
      <c r="E23" s="325" t="str">
        <f>IF($D$23="Eget värmevärde","ange värmevärde:","")</f>
        <v/>
      </c>
      <c r="F23" s="326"/>
      <c r="G23" s="232">
        <v>0</v>
      </c>
      <c r="H23" s="75" t="str">
        <f>IF($D$23="Eget värmevärde","ange typ av bioolja:","")</f>
        <v/>
      </c>
      <c r="I23" s="331"/>
      <c r="J23" s="331"/>
      <c r="K23" s="75"/>
      <c r="L23" s="75"/>
      <c r="M23" s="75"/>
      <c r="N23" s="75"/>
      <c r="O23" s="75"/>
      <c r="P23" s="75"/>
      <c r="Q23" s="75"/>
    </row>
    <row r="24" spans="1:18" ht="37.5" customHeight="1" x14ac:dyDescent="0.3">
      <c r="B24" s="180" t="s">
        <v>668</v>
      </c>
      <c r="C24" s="201" t="s">
        <v>436</v>
      </c>
      <c r="D24" s="300" t="s">
        <v>267</v>
      </c>
      <c r="E24" s="75" t="s">
        <v>666</v>
      </c>
      <c r="G24" s="157" t="s">
        <v>400</v>
      </c>
      <c r="H24" s="75"/>
      <c r="I24" s="75"/>
      <c r="J24" s="75"/>
      <c r="K24" s="75"/>
      <c r="L24" s="75"/>
      <c r="M24" s="75"/>
      <c r="N24" s="75"/>
      <c r="O24" s="75"/>
      <c r="P24" s="75"/>
      <c r="Q24" s="75"/>
    </row>
    <row r="25" spans="1:18" ht="38.25" customHeight="1" x14ac:dyDescent="0.35">
      <c r="B25" s="180" t="s">
        <v>354</v>
      </c>
      <c r="C25" s="201" t="s">
        <v>436</v>
      </c>
      <c r="D25" s="327" t="s">
        <v>363</v>
      </c>
      <c r="E25" s="327"/>
      <c r="F25" s="327"/>
      <c r="G25" s="327"/>
      <c r="H25" s="75"/>
      <c r="I25" s="75"/>
      <c r="J25" s="75"/>
      <c r="K25" s="75"/>
      <c r="L25" s="75"/>
      <c r="M25" s="75"/>
      <c r="N25" s="75"/>
      <c r="O25" s="75"/>
      <c r="P25" s="75"/>
      <c r="Q25" s="75"/>
    </row>
    <row r="26" spans="1:18" ht="37.5" x14ac:dyDescent="0.3">
      <c r="B26" s="180" t="s">
        <v>655</v>
      </c>
      <c r="C26" s="156"/>
      <c r="D26" s="155"/>
      <c r="E26" s="155"/>
      <c r="F26" s="155"/>
      <c r="G26" s="155"/>
      <c r="H26" s="155"/>
      <c r="I26" s="75"/>
      <c r="J26" s="75"/>
      <c r="K26" s="75"/>
      <c r="L26" s="75"/>
      <c r="M26" s="75"/>
      <c r="N26" s="75"/>
      <c r="O26" s="75"/>
      <c r="P26" s="75"/>
      <c r="Q26" s="75"/>
    </row>
    <row r="27" spans="1:18" x14ac:dyDescent="0.25">
      <c r="B27" s="77" t="str">
        <f>IF($D$26="NEJ","Utsläpp från utvinning eller odling av råvaror","")</f>
        <v/>
      </c>
      <c r="C27" s="77"/>
      <c r="D27" s="155"/>
      <c r="E27" s="155"/>
      <c r="F27" s="155"/>
      <c r="G27" s="155"/>
      <c r="H27" s="75"/>
      <c r="I27" s="294" t="b">
        <v>1</v>
      </c>
      <c r="J27" s="75"/>
      <c r="K27" s="75"/>
      <c r="L27" s="75"/>
      <c r="M27" s="75"/>
      <c r="N27" s="75"/>
      <c r="O27" s="75"/>
      <c r="P27" s="75"/>
      <c r="Q27" s="75"/>
    </row>
    <row r="28" spans="1:18" ht="15.75" customHeight="1" x14ac:dyDescent="0.25">
      <c r="B28" s="77"/>
      <c r="C28" s="77"/>
      <c r="D28" s="155"/>
      <c r="E28" s="155"/>
      <c r="F28" s="155"/>
      <c r="G28" s="155"/>
      <c r="H28" s="75"/>
      <c r="I28" s="78"/>
      <c r="J28" s="75"/>
      <c r="K28" s="75"/>
      <c r="L28" s="75"/>
      <c r="M28" s="301"/>
      <c r="N28" s="75"/>
      <c r="O28" s="75"/>
      <c r="P28" s="75"/>
      <c r="Q28" s="75"/>
    </row>
    <row r="29" spans="1:18" s="161" customFormat="1" ht="15.75" customHeight="1" x14ac:dyDescent="0.25">
      <c r="A29" s="150"/>
      <c r="B29" s="77"/>
      <c r="C29" s="77"/>
      <c r="D29" s="155"/>
      <c r="E29" s="155"/>
      <c r="F29" s="155"/>
      <c r="G29" s="155"/>
      <c r="H29" s="75"/>
      <c r="I29" s="78"/>
      <c r="J29" s="75"/>
      <c r="K29" s="75"/>
      <c r="L29" s="75"/>
      <c r="N29" s="75"/>
      <c r="O29" s="75"/>
      <c r="P29" s="75"/>
      <c r="Q29" s="75"/>
    </row>
    <row r="30" spans="1:18" s="168" customFormat="1" x14ac:dyDescent="0.25">
      <c r="A30" s="203"/>
      <c r="B30" s="167"/>
      <c r="C30" s="167"/>
      <c r="D30" s="76"/>
      <c r="E30" s="76"/>
      <c r="F30" s="76"/>
      <c r="G30" s="76"/>
      <c r="H30" s="76"/>
      <c r="I30" s="76"/>
      <c r="J30" s="76"/>
      <c r="K30" s="76"/>
      <c r="L30" s="76"/>
      <c r="M30" s="76"/>
      <c r="N30" s="76"/>
      <c r="O30" s="76"/>
      <c r="P30" s="76"/>
      <c r="Q30" s="76"/>
    </row>
    <row r="31" spans="1:18" s="168" customFormat="1" x14ac:dyDescent="0.25">
      <c r="A31" s="203"/>
      <c r="B31" s="167"/>
      <c r="C31" s="167"/>
      <c r="D31" s="76"/>
      <c r="E31" s="76"/>
      <c r="F31" s="76"/>
      <c r="G31" s="76"/>
      <c r="H31" s="76"/>
      <c r="I31" s="76"/>
      <c r="J31" s="76"/>
      <c r="K31" s="76"/>
      <c r="L31" s="76"/>
      <c r="M31" s="76"/>
      <c r="N31" s="76"/>
      <c r="O31" s="76"/>
      <c r="P31" s="76"/>
      <c r="Q31" s="76"/>
    </row>
    <row r="32" spans="1:18" s="168" customFormat="1" x14ac:dyDescent="0.25">
      <c r="A32" s="203"/>
      <c r="B32" s="167"/>
      <c r="C32" s="167"/>
      <c r="D32" s="76"/>
      <c r="E32" s="76"/>
      <c r="F32" s="76"/>
      <c r="G32" s="76"/>
      <c r="H32" s="76"/>
      <c r="I32" s="76"/>
      <c r="J32" s="76"/>
      <c r="K32" s="76"/>
      <c r="L32" s="76"/>
      <c r="M32" s="76"/>
      <c r="N32" s="76"/>
      <c r="O32" s="76"/>
      <c r="P32" s="76"/>
      <c r="Q32" s="76"/>
    </row>
    <row r="33" spans="1:17" s="168" customFormat="1" x14ac:dyDescent="0.25">
      <c r="A33" s="203"/>
      <c r="B33" s="167"/>
      <c r="C33" s="167"/>
      <c r="D33" s="76"/>
      <c r="E33" s="76"/>
      <c r="F33" s="76"/>
      <c r="G33" s="76"/>
      <c r="H33" s="76"/>
      <c r="I33" s="76"/>
      <c r="J33" s="76"/>
      <c r="K33" s="76"/>
      <c r="L33" s="76"/>
      <c r="M33" s="76"/>
      <c r="N33" s="76"/>
      <c r="O33" s="76"/>
      <c r="P33" s="76"/>
      <c r="Q33" s="76"/>
    </row>
    <row r="34" spans="1:17" ht="23.25" x14ac:dyDescent="0.35">
      <c r="B34" s="129" t="str">
        <f>IF($I$27,"Emissioner från odling ingår ej - fortsätt nedåt","Odling, eec")</f>
        <v>Emissioner från odling ingår ej - fortsätt nedåt</v>
      </c>
      <c r="C34" s="129"/>
      <c r="D34" s="75"/>
      <c r="E34" s="75"/>
      <c r="F34" s="75"/>
      <c r="G34" s="75"/>
      <c r="H34" s="75"/>
      <c r="I34" s="75"/>
      <c r="J34" s="75"/>
      <c r="K34" s="75"/>
      <c r="L34" s="75"/>
      <c r="M34" s="75"/>
      <c r="N34" s="75"/>
      <c r="O34" s="75"/>
      <c r="P34" s="75"/>
      <c r="Q34" s="75"/>
    </row>
    <row r="35" spans="1:17" ht="15" customHeight="1" x14ac:dyDescent="0.25">
      <c r="A35" s="323" t="s">
        <v>568</v>
      </c>
      <c r="B35" s="131"/>
      <c r="C35" s="131"/>
      <c r="D35" s="131"/>
      <c r="E35" s="131"/>
      <c r="F35" s="131"/>
      <c r="G35" s="132"/>
      <c r="H35" s="132"/>
      <c r="I35" s="132"/>
      <c r="J35" s="132"/>
      <c r="K35" s="142"/>
      <c r="L35" s="142"/>
      <c r="M35" s="142"/>
      <c r="N35" s="142"/>
      <c r="O35" s="142"/>
      <c r="P35" s="142"/>
      <c r="Q35" s="142"/>
    </row>
    <row r="36" spans="1:17" s="204" customFormat="1" ht="18" x14ac:dyDescent="0.35">
      <c r="A36" s="323"/>
      <c r="B36" s="146" t="s">
        <v>432</v>
      </c>
      <c r="C36" s="143" t="s">
        <v>436</v>
      </c>
      <c r="D36" s="157" t="s">
        <v>483</v>
      </c>
      <c r="E36" s="131"/>
      <c r="F36" s="131"/>
      <c r="G36" s="144" t="s">
        <v>603</v>
      </c>
      <c r="H36" s="101">
        <f>SUM(G43:G48)</f>
        <v>0</v>
      </c>
      <c r="I36" s="144" t="s">
        <v>581</v>
      </c>
      <c r="J36" s="132"/>
      <c r="K36" s="142"/>
      <c r="L36" s="142"/>
      <c r="M36" s="142"/>
      <c r="N36" s="142"/>
      <c r="O36" s="142"/>
      <c r="P36" s="142"/>
      <c r="Q36" s="142"/>
    </row>
    <row r="37" spans="1:17" s="212" customFormat="1" ht="18" x14ac:dyDescent="0.35">
      <c r="A37" s="323"/>
      <c r="B37" s="146" t="s">
        <v>606</v>
      </c>
      <c r="C37" s="143" t="s">
        <v>436</v>
      </c>
      <c r="D37" s="157" t="s">
        <v>609</v>
      </c>
      <c r="E37" s="131"/>
      <c r="F37" s="131"/>
      <c r="G37" s="144" t="s">
        <v>604</v>
      </c>
      <c r="H37" s="101">
        <f>SUM(H44:H48)</f>
        <v>0</v>
      </c>
      <c r="I37" s="144" t="s">
        <v>581</v>
      </c>
      <c r="J37" s="132"/>
      <c r="K37" s="142"/>
      <c r="L37" s="142"/>
      <c r="M37" s="142"/>
      <c r="N37" s="142"/>
      <c r="O37" s="142"/>
      <c r="P37" s="142"/>
      <c r="Q37" s="142"/>
    </row>
    <row r="38" spans="1:17" s="204" customFormat="1" ht="18" x14ac:dyDescent="0.35">
      <c r="A38" s="323"/>
      <c r="B38" s="131"/>
      <c r="C38" s="131"/>
      <c r="D38" s="143" t="str">
        <f>IF(D37="Egna värden","Ange egna uppgifter nedan","Ange INTE värden nedan!")</f>
        <v>Ange INTE värden nedan!</v>
      </c>
      <c r="E38" s="131"/>
      <c r="F38" s="131"/>
      <c r="G38" s="144" t="s">
        <v>605</v>
      </c>
      <c r="H38" s="101">
        <f>SUM(I44:I49)</f>
        <v>0</v>
      </c>
      <c r="I38" s="144" t="s">
        <v>581</v>
      </c>
      <c r="J38" s="132"/>
      <c r="K38" s="142"/>
      <c r="L38" s="142"/>
      <c r="M38" s="142"/>
      <c r="N38" s="142"/>
      <c r="O38" s="142"/>
      <c r="P38" s="142"/>
      <c r="Q38" s="142"/>
    </row>
    <row r="39" spans="1:17" x14ac:dyDescent="0.25">
      <c r="A39" s="323"/>
      <c r="B39" s="213" t="s">
        <v>577</v>
      </c>
      <c r="C39" s="131"/>
      <c r="D39" s="131"/>
      <c r="E39" s="131"/>
      <c r="F39" s="131"/>
      <c r="G39" s="144"/>
      <c r="H39" s="144"/>
      <c r="I39" s="144"/>
      <c r="J39" s="144"/>
      <c r="K39" s="142"/>
      <c r="L39" s="142"/>
      <c r="M39" s="142"/>
      <c r="N39" s="142"/>
      <c r="O39" s="142"/>
      <c r="P39" s="142"/>
      <c r="Q39" s="142"/>
    </row>
    <row r="40" spans="1:17" x14ac:dyDescent="0.25">
      <c r="A40" s="323"/>
      <c r="B40" s="131" t="s">
        <v>330</v>
      </c>
      <c r="C40" s="131"/>
      <c r="D40" s="295" t="str">
        <f>IF(D37="Standardvärden","Ange ej","0")</f>
        <v>Ange ej</v>
      </c>
      <c r="E40" s="146" t="s">
        <v>582</v>
      </c>
      <c r="F40" s="131"/>
      <c r="G40" s="144"/>
      <c r="H40" s="144"/>
      <c r="I40" s="144"/>
      <c r="J40" s="144"/>
      <c r="K40" s="142"/>
      <c r="L40" s="142"/>
      <c r="M40" s="142"/>
      <c r="N40" s="142"/>
      <c r="O40" s="142"/>
      <c r="P40" s="142"/>
      <c r="Q40" s="142"/>
    </row>
    <row r="41" spans="1:17" x14ac:dyDescent="0.25">
      <c r="A41" s="323"/>
      <c r="B41" s="131"/>
      <c r="C41" s="131"/>
      <c r="D41" s="131"/>
      <c r="E41" s="131"/>
      <c r="F41" s="131"/>
      <c r="G41" s="223"/>
      <c r="H41" s="223"/>
      <c r="I41" s="223"/>
      <c r="J41" s="132"/>
      <c r="K41" s="142"/>
      <c r="L41" s="142"/>
      <c r="M41" s="142"/>
      <c r="N41" s="142"/>
      <c r="O41" s="142"/>
      <c r="P41" s="142"/>
      <c r="Q41" s="142"/>
    </row>
    <row r="42" spans="1:17" ht="33.75" customHeight="1" x14ac:dyDescent="0.25">
      <c r="A42" s="323"/>
      <c r="B42" s="213" t="s">
        <v>578</v>
      </c>
      <c r="C42" s="131"/>
      <c r="D42" s="213"/>
      <c r="E42" s="131"/>
      <c r="F42" s="131"/>
      <c r="G42" s="225" t="s">
        <v>574</v>
      </c>
      <c r="H42" s="225" t="s">
        <v>575</v>
      </c>
      <c r="I42" s="225" t="s">
        <v>576</v>
      </c>
      <c r="J42" s="215"/>
      <c r="K42" s="142"/>
      <c r="L42" s="142"/>
      <c r="M42" s="142"/>
      <c r="N42" s="142"/>
      <c r="O42" s="142"/>
      <c r="P42" s="142"/>
      <c r="Q42" s="142"/>
    </row>
    <row r="43" spans="1:17" x14ac:dyDescent="0.25">
      <c r="A43" s="323"/>
      <c r="B43" s="146" t="s">
        <v>589</v>
      </c>
      <c r="C43" s="131"/>
      <c r="D43" s="296" t="str">
        <f>IF(D37="Standardvärden","Ange ej","0")</f>
        <v>Ange ej</v>
      </c>
      <c r="E43" s="213" t="s">
        <v>579</v>
      </c>
      <c r="F43" s="131"/>
      <c r="G43" s="230" t="str">
        <f>IF(D40="Ange ej","0",($D$40*Indata!E26)*VLOOKUP($B$40,Indata!1:1048576,3,FALSE)/VLOOKUP(D36,Indata!1:1048576,34,FALSE))</f>
        <v>0</v>
      </c>
      <c r="H43" s="225"/>
      <c r="I43" s="225"/>
      <c r="J43" s="215"/>
      <c r="K43" s="142"/>
      <c r="L43" s="142"/>
      <c r="M43" s="142"/>
      <c r="N43" s="142"/>
      <c r="O43" s="142"/>
      <c r="P43" s="142"/>
      <c r="Q43" s="142"/>
    </row>
    <row r="44" spans="1:17" x14ac:dyDescent="0.25">
      <c r="A44" s="323"/>
      <c r="B44" s="146" t="s">
        <v>590</v>
      </c>
      <c r="C44" s="131"/>
      <c r="D44" s="296" t="str">
        <f>IF(D37="Standardvärden","Ange ej","0")</f>
        <v>Ange ej</v>
      </c>
      <c r="E44" s="213" t="s">
        <v>579</v>
      </c>
      <c r="F44" s="131"/>
      <c r="G44" s="230" t="str">
        <f>IF(D43="Ange ej","0",$D$43*VLOOKUP($B$43,Indata!1:1048576,23,FALSE)/VLOOKUP(D36,Indata!1:1048576,34,FALSE))</f>
        <v>0</v>
      </c>
      <c r="H44" s="230" t="str">
        <f>IF(D43="Ange ej","0",$D$43*VLOOKUP($B$43,Indata!1:1048576,24,FALSE)/VLOOKUP(D36,Indata!1:1048576,34,FALSE))</f>
        <v>0</v>
      </c>
      <c r="I44" s="226" t="str">
        <f>IF(D43="Ange ej","0",$D$43*VLOOKUP($B$43,Indata!1:1048576,25,FALSE)/VLOOKUP(D36,Indata!1:1048576,34,FALSE))</f>
        <v>0</v>
      </c>
      <c r="J44" s="215"/>
      <c r="K44" s="142"/>
      <c r="L44" s="142"/>
      <c r="M44" s="142"/>
      <c r="N44" s="142"/>
      <c r="O44" s="142"/>
      <c r="P44" s="142"/>
      <c r="Q44" s="142"/>
    </row>
    <row r="45" spans="1:17" x14ac:dyDescent="0.25">
      <c r="A45" s="323"/>
      <c r="B45" s="146" t="s">
        <v>591</v>
      </c>
      <c r="C45" s="131"/>
      <c r="D45" s="296" t="str">
        <f>IF(D37="Standardvärden","Ange ej","0")</f>
        <v>Ange ej</v>
      </c>
      <c r="E45" s="213" t="s">
        <v>579</v>
      </c>
      <c r="F45" s="131"/>
      <c r="G45" s="230" t="str">
        <f>IF(D44="Ange ej","0",$D$44*VLOOKUP($B$44,Indata!1:1048576,23,FALSE)/VLOOKUP(D36,Indata!1:1048576,34,FALSE))</f>
        <v>0</v>
      </c>
      <c r="H45" s="230" t="str">
        <f>IF(D44="Ange ej","0",$D$44*VLOOKUP($B$44,Indata!1:1048576,24,FALSE)/VLOOKUP(D36,Indata!1:1048576,34,FALSE))</f>
        <v>0</v>
      </c>
      <c r="I45" s="226" t="str">
        <f>IF(D44="Ange ej","0",$D$44*VLOOKUP($B$44,Indata!1:1048576,25,FALSE)/VLOOKUP(D36,Indata!1:1048576,34,FALSE))</f>
        <v>0</v>
      </c>
      <c r="J45" s="215"/>
      <c r="K45" s="142"/>
      <c r="L45" s="142"/>
      <c r="M45" s="142"/>
      <c r="N45" s="142"/>
      <c r="O45" s="142"/>
      <c r="P45" s="142"/>
      <c r="Q45" s="142"/>
    </row>
    <row r="46" spans="1:17" s="192" customFormat="1" x14ac:dyDescent="0.25">
      <c r="A46" s="323"/>
      <c r="B46" s="146" t="s">
        <v>592</v>
      </c>
      <c r="C46" s="131"/>
      <c r="D46" s="296" t="str">
        <f>IF(D37="Standardvärden","Ange ej","0")</f>
        <v>Ange ej</v>
      </c>
      <c r="E46" s="213" t="s">
        <v>579</v>
      </c>
      <c r="F46" s="131"/>
      <c r="G46" s="230" t="str">
        <f>IF(D45="Ange ej","0",$D$45*VLOOKUP($B$45,Indata!1:1048576,23,FALSE)/VLOOKUP(D36,Indata!1:1048576,34,FALSE))</f>
        <v>0</v>
      </c>
      <c r="H46" s="230" t="str">
        <f>IF(D45="Ange ej","0",$D$45*VLOOKUP($B$45,Indata!1:1048576,24,FALSE)/VLOOKUP(D36,Indata!1:1048576,34,FALSE))</f>
        <v>0</v>
      </c>
      <c r="I46" s="226" t="str">
        <f>IF(D45="Ange ej","0",$D$45*VLOOKUP($B$45,Indata!1:1048576,25,FALSE)/VLOOKUP(D36,Indata!1:1048576,34,FALSE))</f>
        <v>0</v>
      </c>
      <c r="J46" s="215"/>
      <c r="K46" s="142"/>
      <c r="L46" s="142"/>
      <c r="M46" s="142"/>
      <c r="N46" s="142"/>
      <c r="O46" s="142"/>
      <c r="P46" s="142"/>
      <c r="Q46" s="142"/>
    </row>
    <row r="47" spans="1:17" s="192" customFormat="1" x14ac:dyDescent="0.25">
      <c r="A47" s="323"/>
      <c r="B47" s="146" t="s">
        <v>593</v>
      </c>
      <c r="C47" s="131"/>
      <c r="D47" s="296" t="str">
        <f>IF(D37="Standardvärden","Ange ej","0")</f>
        <v>Ange ej</v>
      </c>
      <c r="E47" s="213" t="s">
        <v>579</v>
      </c>
      <c r="F47" s="131"/>
      <c r="G47" s="302" t="str">
        <f>IF(D46="Ange ej","0",$D$46*VLOOKUP($B$46,Indata!1:1048576,23,FALSE)/VLOOKUP(D36,Indata!1:1048576,34,FALSE))</f>
        <v>0</v>
      </c>
      <c r="H47" s="230" t="str">
        <f>IF(D46="Ange ej","0",$D$46*VLOOKUP($B$46,Indata!1:1048576,24,FALSE)/VLOOKUP(D36,Indata!1:1048576,34,FALSE))</f>
        <v>0</v>
      </c>
      <c r="I47" s="226" t="str">
        <f>IF(D46="Ange ej","0",$D$46*VLOOKUP($B$46,Indata!1:1048576,25,FALSE)/VLOOKUP(D36,Indata!1:1048576,34,FALSE))</f>
        <v>0</v>
      </c>
      <c r="J47" s="215"/>
      <c r="K47" s="142"/>
      <c r="L47" s="142"/>
      <c r="M47" s="142"/>
      <c r="N47" s="142"/>
      <c r="O47" s="142"/>
      <c r="P47" s="142"/>
      <c r="Q47" s="142"/>
    </row>
    <row r="48" spans="1:17" s="192" customFormat="1" x14ac:dyDescent="0.25">
      <c r="A48" s="323"/>
      <c r="B48" s="131"/>
      <c r="C48" s="131"/>
      <c r="D48" s="131"/>
      <c r="E48" s="131"/>
      <c r="F48" s="131"/>
      <c r="G48" s="230" t="str">
        <f>IF(D47="Ange ej","0",$D$47*VLOOKUP($B$47,Indata!1:1048576,23,FALSE)/VLOOKUP(D36,Indata!1:1048576,34,FALSE))</f>
        <v>0</v>
      </c>
      <c r="H48" s="230" t="str">
        <f>IF(D47="Ange ej","0",$D$47*VLOOKUP($B$47,Indata!1:1048576,24,FALSE)/VLOOKUP(D36,Indata!1:1048576,34,FALSE))</f>
        <v>0</v>
      </c>
      <c r="I48" s="226" t="str">
        <f>IF(D47="Ange ej","0",$D$47*VLOOKUP($B$47,Indata!1:1048576,25,FALSE)/VLOOKUP(D36,Indata!1:1048576,34,FALSE))</f>
        <v>0</v>
      </c>
      <c r="J48" s="215"/>
      <c r="K48" s="142"/>
      <c r="L48" s="142"/>
      <c r="M48" s="142"/>
      <c r="N48" s="142"/>
      <c r="O48" s="142"/>
      <c r="P48" s="142"/>
      <c r="Q48" s="142"/>
    </row>
    <row r="49" spans="1:17" s="192" customFormat="1" x14ac:dyDescent="0.25">
      <c r="A49" s="323"/>
      <c r="B49" s="146" t="s">
        <v>594</v>
      </c>
      <c r="C49" s="143"/>
      <c r="D49" s="296" t="str">
        <f>IF(D37="Standardvärden","Ange ej","0")</f>
        <v>Ange ej</v>
      </c>
      <c r="E49" s="213" t="s">
        <v>579</v>
      </c>
      <c r="F49" s="131"/>
      <c r="G49" s="225"/>
      <c r="H49" s="225"/>
      <c r="I49" s="227" t="str">
        <f>IF(D49="Ange ej","0",1000*$D$49/VLOOKUP(D36,Indata!1:1048576,34,FALSE))</f>
        <v>0</v>
      </c>
      <c r="J49" s="215"/>
      <c r="K49" s="142"/>
      <c r="L49" s="142"/>
      <c r="M49" s="142"/>
      <c r="N49" s="142"/>
      <c r="O49" s="142"/>
      <c r="P49" s="142"/>
      <c r="Q49" s="142"/>
    </row>
    <row r="50" spans="1:17" s="192" customFormat="1" x14ac:dyDescent="0.25">
      <c r="A50" s="323"/>
      <c r="B50" s="213" t="s">
        <v>595</v>
      </c>
      <c r="C50" s="131"/>
      <c r="D50" s="131"/>
      <c r="E50" s="131"/>
      <c r="F50" s="131"/>
      <c r="G50" s="224"/>
      <c r="H50" s="224"/>
      <c r="I50" s="224"/>
      <c r="J50" s="215"/>
      <c r="K50" s="142"/>
      <c r="L50" s="142"/>
      <c r="M50" s="142"/>
      <c r="N50" s="142"/>
      <c r="O50" s="142"/>
      <c r="P50" s="142"/>
      <c r="Q50" s="142"/>
    </row>
    <row r="51" spans="1:17" s="204" customFormat="1" x14ac:dyDescent="0.25">
      <c r="A51" s="323"/>
      <c r="B51" s="213" t="s">
        <v>596</v>
      </c>
      <c r="C51" s="131"/>
      <c r="D51" s="131"/>
      <c r="E51" s="131"/>
      <c r="F51" s="131"/>
      <c r="G51" s="215"/>
      <c r="H51" s="215"/>
      <c r="I51" s="215"/>
      <c r="J51" s="215"/>
      <c r="K51" s="142"/>
      <c r="L51" s="142"/>
      <c r="M51" s="142"/>
      <c r="N51" s="142"/>
      <c r="O51" s="142"/>
      <c r="P51" s="142"/>
      <c r="Q51" s="142"/>
    </row>
    <row r="52" spans="1:17" s="212" customFormat="1" x14ac:dyDescent="0.25">
      <c r="A52" s="323"/>
      <c r="B52" s="213"/>
      <c r="C52" s="131"/>
      <c r="D52" s="131"/>
      <c r="E52" s="131"/>
      <c r="F52" s="131"/>
      <c r="G52" s="215"/>
      <c r="H52" s="215"/>
      <c r="I52" s="215"/>
      <c r="J52" s="215"/>
      <c r="K52" s="142"/>
      <c r="L52" s="142"/>
      <c r="M52" s="142"/>
      <c r="N52" s="142"/>
      <c r="O52" s="142"/>
      <c r="P52" s="142"/>
      <c r="Q52" s="142"/>
    </row>
    <row r="53" spans="1:17" s="212" customFormat="1" ht="18" x14ac:dyDescent="0.35">
      <c r="A53" s="323"/>
      <c r="B53" s="146" t="s">
        <v>653</v>
      </c>
      <c r="C53" s="143" t="s">
        <v>436</v>
      </c>
      <c r="D53" s="329" t="s">
        <v>599</v>
      </c>
      <c r="E53" s="330"/>
      <c r="F53" s="131"/>
      <c r="G53" s="215"/>
      <c r="H53" s="215"/>
      <c r="I53" s="215"/>
      <c r="J53" s="215"/>
      <c r="K53" s="142"/>
      <c r="L53" s="142"/>
      <c r="M53" s="142"/>
      <c r="N53" s="142"/>
      <c r="O53" s="142"/>
      <c r="P53" s="142"/>
      <c r="Q53" s="142"/>
    </row>
    <row r="54" spans="1:17" s="212" customFormat="1" x14ac:dyDescent="0.25">
      <c r="A54" s="323"/>
      <c r="B54" s="191" t="str">
        <f>IF(D53="Ja","Om markanvändning sker, ange markanvändningsförändring inkl. bonus:","")</f>
        <v/>
      </c>
      <c r="C54" s="131"/>
      <c r="D54" s="296"/>
      <c r="E54" s="146" t="str">
        <f>IF(D53="Ja","g CO2eq/MJ","")</f>
        <v/>
      </c>
      <c r="F54" s="131"/>
      <c r="G54" s="231" t="str">
        <f>IF(D53="Okänt om LUC förekommer","Emissioner förknippat med förändrad markanvändning, inkl allokering:","")</f>
        <v/>
      </c>
      <c r="H54" s="101">
        <f>IF(D53="Okänt om LUC förekommer",(Indata!AK144*1000000/VLOOKUP(D36,Indata!1:1048576,34,FALSE)),0)</f>
        <v>0</v>
      </c>
      <c r="I54" s="144" t="s">
        <v>581</v>
      </c>
      <c r="J54" s="215"/>
      <c r="K54" s="142"/>
      <c r="L54" s="142"/>
      <c r="M54" s="142"/>
      <c r="N54" s="142"/>
      <c r="O54" s="142"/>
      <c r="P54" s="142"/>
      <c r="Q54" s="142"/>
    </row>
    <row r="55" spans="1:17" s="212" customFormat="1" x14ac:dyDescent="0.25">
      <c r="A55" s="323"/>
      <c r="B55" s="146"/>
      <c r="C55" s="131"/>
      <c r="D55" s="131"/>
      <c r="E55" s="131"/>
      <c r="F55" s="131"/>
      <c r="G55" s="215"/>
      <c r="H55" s="215"/>
      <c r="I55" s="215"/>
      <c r="J55" s="215"/>
      <c r="K55" s="142"/>
      <c r="L55" s="142"/>
      <c r="M55" s="142"/>
      <c r="N55" s="142"/>
      <c r="O55" s="142"/>
      <c r="P55" s="142"/>
      <c r="Q55" s="142"/>
    </row>
    <row r="56" spans="1:17" s="212" customFormat="1" x14ac:dyDescent="0.25">
      <c r="A56" s="323"/>
      <c r="B56" s="213" t="s">
        <v>600</v>
      </c>
      <c r="C56" s="131"/>
      <c r="D56" s="131"/>
      <c r="E56" s="131"/>
      <c r="F56" s="131"/>
      <c r="G56" s="215"/>
      <c r="H56" s="215"/>
      <c r="I56" s="215"/>
      <c r="J56" s="215"/>
      <c r="K56" s="142"/>
      <c r="L56" s="142"/>
      <c r="M56" s="214" t="s">
        <v>284</v>
      </c>
      <c r="N56" s="101">
        <f>IF(D37="Standardvärden",VLOOKUP(D36,Indata!1:1048576,3,FALSE),(H36+H37*23+H38*296))</f>
        <v>29</v>
      </c>
      <c r="O56" s="145" t="s">
        <v>580</v>
      </c>
      <c r="P56" s="142"/>
      <c r="Q56" s="142"/>
    </row>
    <row r="57" spans="1:17" s="212" customFormat="1" x14ac:dyDescent="0.25">
      <c r="A57" s="210"/>
      <c r="B57" s="213" t="s">
        <v>601</v>
      </c>
      <c r="C57" s="131"/>
      <c r="D57" s="131"/>
      <c r="E57" s="131"/>
      <c r="F57" s="131"/>
      <c r="G57" s="215"/>
      <c r="H57" s="215"/>
      <c r="I57" s="215"/>
      <c r="J57" s="215"/>
      <c r="K57" s="142"/>
      <c r="L57" s="142"/>
      <c r="M57" s="142"/>
      <c r="N57" s="142"/>
      <c r="O57" s="142"/>
      <c r="P57" s="142"/>
      <c r="Q57" s="142"/>
    </row>
    <row r="58" spans="1:17" s="212" customFormat="1" x14ac:dyDescent="0.25">
      <c r="A58" s="210"/>
      <c r="B58" s="213"/>
      <c r="C58" s="131"/>
      <c r="D58" s="131"/>
      <c r="E58" s="131"/>
      <c r="F58" s="131"/>
      <c r="G58" s="215"/>
      <c r="H58" s="215"/>
      <c r="I58" s="215"/>
      <c r="J58" s="215"/>
      <c r="K58" s="142"/>
      <c r="L58" s="142"/>
      <c r="M58" s="142"/>
      <c r="N58" s="142"/>
      <c r="O58" s="142"/>
      <c r="P58" s="142"/>
      <c r="Q58" s="142"/>
    </row>
    <row r="59" spans="1:17" s="204" customFormat="1" x14ac:dyDescent="0.25">
      <c r="A59" s="212"/>
    </row>
    <row r="60" spans="1:17" s="204" customFormat="1" ht="23.25" x14ac:dyDescent="0.35">
      <c r="A60" s="212"/>
      <c r="B60" s="129" t="str">
        <f>IF($I$27,"Bearbetning (oljeframställning) ingår ej - fortsätt nedåt","Bearbetning-Oljeframställning, ep")</f>
        <v>Bearbetning (oljeframställning) ingår ej - fortsätt nedåt</v>
      </c>
    </row>
    <row r="61" spans="1:17" s="212" customFormat="1" ht="15" customHeight="1" x14ac:dyDescent="0.25">
      <c r="A61" s="323" t="s">
        <v>641</v>
      </c>
      <c r="B61" s="217"/>
      <c r="C61" s="217"/>
      <c r="D61" s="217"/>
      <c r="E61" s="217"/>
      <c r="F61" s="217"/>
      <c r="G61" s="218"/>
      <c r="H61" s="218"/>
      <c r="I61" s="218"/>
      <c r="J61" s="218"/>
      <c r="K61" s="17"/>
      <c r="L61" s="17"/>
      <c r="M61" s="17"/>
      <c r="N61" s="17"/>
      <c r="O61" s="17"/>
      <c r="P61" s="17"/>
      <c r="Q61" s="17"/>
    </row>
    <row r="62" spans="1:17" s="212" customFormat="1" x14ac:dyDescent="0.25">
      <c r="A62" s="323"/>
      <c r="B62" s="217" t="s">
        <v>584</v>
      </c>
      <c r="C62" s="185" t="s">
        <v>436</v>
      </c>
      <c r="D62" s="157" t="s">
        <v>608</v>
      </c>
      <c r="E62" s="217" t="s">
        <v>105</v>
      </c>
      <c r="F62" s="217"/>
      <c r="G62" s="219" t="s">
        <v>586</v>
      </c>
      <c r="H62" s="218" t="s">
        <v>585</v>
      </c>
      <c r="I62" s="218"/>
      <c r="J62" s="218"/>
      <c r="K62" s="17"/>
      <c r="L62" s="17"/>
      <c r="M62" s="17"/>
      <c r="N62" s="17"/>
      <c r="O62" s="17"/>
      <c r="P62" s="17"/>
      <c r="Q62" s="17"/>
    </row>
    <row r="63" spans="1:17" s="212" customFormat="1" x14ac:dyDescent="0.25">
      <c r="A63" s="323"/>
      <c r="B63" s="217"/>
      <c r="C63" s="217"/>
      <c r="D63" s="217"/>
      <c r="E63" s="217"/>
      <c r="F63" s="217"/>
      <c r="G63" s="218"/>
      <c r="H63" s="218" t="s">
        <v>602</v>
      </c>
      <c r="I63" s="218"/>
      <c r="J63" s="218"/>
      <c r="K63" s="17"/>
      <c r="L63" s="17"/>
      <c r="M63" s="17" t="s">
        <v>284</v>
      </c>
      <c r="N63" s="209">
        <f>IF(D62="Okänd",VLOOKUP(D36,Indata!1:1048576,36,FALSE),H70+H73)</f>
        <v>9.2565033434841339</v>
      </c>
      <c r="O63" s="17" t="s">
        <v>580</v>
      </c>
      <c r="P63" s="17"/>
      <c r="Q63" s="17"/>
    </row>
    <row r="64" spans="1:17" s="212" customFormat="1" x14ac:dyDescent="0.25">
      <c r="A64" s="323"/>
      <c r="B64" s="185" t="s">
        <v>622</v>
      </c>
      <c r="C64" s="217"/>
      <c r="D64" s="217"/>
      <c r="E64" s="217"/>
      <c r="F64" s="217"/>
      <c r="G64" s="218"/>
      <c r="H64" s="218" t="s">
        <v>625</v>
      </c>
      <c r="I64" s="218"/>
      <c r="J64" s="218"/>
      <c r="K64" s="17"/>
      <c r="L64" s="17"/>
      <c r="M64" s="17"/>
      <c r="N64" s="17"/>
      <c r="O64" s="17"/>
      <c r="P64" s="17"/>
      <c r="Q64" s="17"/>
    </row>
    <row r="65" spans="1:18" s="212" customFormat="1" ht="18" x14ac:dyDescent="0.35">
      <c r="A65" s="323"/>
      <c r="B65" s="217" t="s">
        <v>75</v>
      </c>
      <c r="C65" s="217"/>
      <c r="D65" s="296">
        <v>0.5</v>
      </c>
      <c r="E65" s="217" t="s">
        <v>626</v>
      </c>
      <c r="F65" s="217"/>
      <c r="G65" s="218"/>
      <c r="H65" s="218" t="s">
        <v>614</v>
      </c>
      <c r="I65" s="218"/>
      <c r="J65" s="218"/>
      <c r="K65" s="17"/>
      <c r="L65" s="17"/>
      <c r="M65" s="17"/>
      <c r="N65" s="17"/>
      <c r="O65" s="17"/>
      <c r="P65" s="17"/>
      <c r="Q65" s="17"/>
    </row>
    <row r="66" spans="1:18" s="212" customFormat="1" ht="18.75" thickBot="1" x14ac:dyDescent="0.4">
      <c r="A66" s="323"/>
      <c r="B66" s="217" t="s">
        <v>654</v>
      </c>
      <c r="C66" s="217"/>
      <c r="D66" s="296">
        <v>0.2</v>
      </c>
      <c r="E66" s="217" t="s">
        <v>627</v>
      </c>
      <c r="F66" s="217"/>
      <c r="G66" s="218"/>
      <c r="H66" s="218"/>
      <c r="I66" s="218"/>
      <c r="J66" s="218"/>
      <c r="K66" s="17"/>
      <c r="L66" s="17"/>
      <c r="M66" s="17"/>
      <c r="N66" s="17"/>
      <c r="O66" s="17"/>
      <c r="P66" s="17"/>
      <c r="Q66" s="17"/>
    </row>
    <row r="67" spans="1:18" s="229" customFormat="1" ht="15.75" thickBot="1" x14ac:dyDescent="0.3">
      <c r="A67" s="323"/>
      <c r="B67" s="217"/>
      <c r="C67" s="217"/>
      <c r="D67" s="217"/>
      <c r="E67" s="217"/>
      <c r="F67" s="217"/>
      <c r="G67" s="218" t="s">
        <v>621</v>
      </c>
      <c r="H67" s="235">
        <f>IF(D65+D66&gt;1,"Energiutbytet är över 100 %",IFERROR((D65/(D65+D66))," "))</f>
        <v>0.7142857142857143</v>
      </c>
      <c r="I67" s="218" t="s">
        <v>628</v>
      </c>
      <c r="J67" s="218"/>
      <c r="K67" s="17"/>
      <c r="L67" s="17"/>
      <c r="M67" s="17"/>
      <c r="N67" s="17"/>
      <c r="O67" s="17"/>
      <c r="P67" s="17"/>
      <c r="Q67" s="17"/>
    </row>
    <row r="68" spans="1:18" s="229" customFormat="1" x14ac:dyDescent="0.25">
      <c r="A68" s="323"/>
      <c r="B68" s="185" t="s">
        <v>616</v>
      </c>
      <c r="C68" s="217"/>
      <c r="D68" s="217"/>
      <c r="E68" s="217"/>
      <c r="F68" s="217"/>
      <c r="G68" s="218"/>
      <c r="H68" s="218"/>
      <c r="I68" s="218"/>
      <c r="J68" s="218"/>
      <c r="K68" s="17"/>
      <c r="L68" s="17"/>
      <c r="M68" s="17"/>
      <c r="N68" s="17"/>
      <c r="O68" s="17"/>
      <c r="P68" s="17"/>
      <c r="Q68" s="17"/>
    </row>
    <row r="69" spans="1:18" s="229" customFormat="1" ht="18" x14ac:dyDescent="0.35">
      <c r="A69" s="323"/>
      <c r="B69" s="217" t="s">
        <v>617</v>
      </c>
      <c r="C69" s="217"/>
      <c r="D69" s="296">
        <v>0.09</v>
      </c>
      <c r="E69" s="217" t="s">
        <v>629</v>
      </c>
      <c r="F69" s="217"/>
      <c r="G69" s="218"/>
      <c r="H69" s="218"/>
      <c r="I69" s="218"/>
      <c r="J69" s="218"/>
      <c r="K69" s="17"/>
      <c r="L69" s="17"/>
      <c r="M69" s="17"/>
      <c r="N69" s="17"/>
      <c r="O69" s="17"/>
      <c r="P69" s="17"/>
      <c r="Q69" s="17"/>
    </row>
    <row r="70" spans="1:18" s="229" customFormat="1" x14ac:dyDescent="0.25">
      <c r="A70" s="323"/>
      <c r="B70" s="217" t="s">
        <v>632</v>
      </c>
      <c r="C70" s="143" t="s">
        <v>436</v>
      </c>
      <c r="D70" s="296" t="s">
        <v>633</v>
      </c>
      <c r="E70" s="217"/>
      <c r="F70" s="217"/>
      <c r="G70" s="218" t="s">
        <v>637</v>
      </c>
      <c r="H70" s="101">
        <f>D69*VLOOKUP(D70,Indata!$1:$1048576,3,FALSE)</f>
        <v>3.15</v>
      </c>
      <c r="I70" s="218" t="s">
        <v>640</v>
      </c>
      <c r="J70" s="218"/>
      <c r="K70" s="17"/>
      <c r="L70" s="17"/>
      <c r="M70" s="17"/>
      <c r="N70" s="17"/>
      <c r="O70" s="17"/>
      <c r="P70" s="17"/>
      <c r="Q70" s="17"/>
    </row>
    <row r="71" spans="1:18" s="229" customFormat="1" x14ac:dyDescent="0.25">
      <c r="A71" s="323"/>
      <c r="B71" s="217"/>
      <c r="C71" s="143"/>
      <c r="D71" s="157"/>
      <c r="E71" s="217"/>
      <c r="F71" s="217"/>
      <c r="G71" s="218"/>
      <c r="H71" s="218"/>
      <c r="I71" s="218"/>
      <c r="J71" s="218"/>
      <c r="K71" s="17"/>
      <c r="L71" s="17"/>
      <c r="M71" s="17"/>
      <c r="N71" s="17"/>
      <c r="O71" s="17"/>
      <c r="P71" s="17"/>
      <c r="Q71" s="17"/>
    </row>
    <row r="72" spans="1:18" s="229" customFormat="1" ht="18" x14ac:dyDescent="0.35">
      <c r="A72" s="323"/>
      <c r="B72" s="217" t="s">
        <v>644</v>
      </c>
      <c r="C72" s="217"/>
      <c r="D72" s="296">
        <v>0.08</v>
      </c>
      <c r="E72" s="217" t="s">
        <v>629</v>
      </c>
      <c r="F72" s="217"/>
      <c r="G72" s="218"/>
      <c r="H72" s="218"/>
      <c r="I72" s="218"/>
      <c r="J72" s="218"/>
      <c r="K72" s="17"/>
      <c r="L72" s="17"/>
      <c r="M72" s="17"/>
      <c r="N72" s="17"/>
      <c r="O72" s="17"/>
      <c r="P72" s="17"/>
      <c r="Q72" s="17"/>
    </row>
    <row r="73" spans="1:18" s="229" customFormat="1" x14ac:dyDescent="0.25">
      <c r="A73" s="323"/>
      <c r="B73" s="217" t="s">
        <v>630</v>
      </c>
      <c r="C73" s="217"/>
      <c r="D73" s="296">
        <v>0.9</v>
      </c>
      <c r="E73" s="217" t="s">
        <v>628</v>
      </c>
      <c r="F73" s="217"/>
      <c r="G73" s="218" t="s">
        <v>639</v>
      </c>
      <c r="H73" s="101">
        <f>D72/D73*VLOOKUP(D74,Indata!$1:$1048576,3,FALSE)</f>
        <v>6.1065033434841336</v>
      </c>
      <c r="I73" s="218" t="s">
        <v>640</v>
      </c>
      <c r="J73" s="218"/>
      <c r="K73" s="17"/>
      <c r="L73" s="17"/>
      <c r="M73" s="17"/>
      <c r="N73" s="17"/>
      <c r="O73" s="17"/>
      <c r="P73" s="17"/>
      <c r="Q73" s="17"/>
    </row>
    <row r="74" spans="1:18" s="229" customFormat="1" x14ac:dyDescent="0.25">
      <c r="A74" s="323"/>
      <c r="B74" s="217" t="s">
        <v>619</v>
      </c>
      <c r="C74" s="143" t="s">
        <v>436</v>
      </c>
      <c r="D74" s="157" t="s">
        <v>77</v>
      </c>
      <c r="E74" s="217"/>
      <c r="F74" s="217"/>
      <c r="G74" s="218"/>
      <c r="H74" s="218"/>
      <c r="I74" s="218"/>
      <c r="J74" s="218"/>
      <c r="K74" s="17"/>
      <c r="L74" s="17"/>
      <c r="M74" s="17"/>
      <c r="N74" s="17"/>
      <c r="O74" s="17"/>
      <c r="P74" s="17"/>
      <c r="Q74" s="17"/>
    </row>
    <row r="75" spans="1:18" s="204" customFormat="1" x14ac:dyDescent="0.25">
      <c r="A75" s="212"/>
      <c r="B75"/>
      <c r="C75"/>
      <c r="D75"/>
      <c r="E75"/>
      <c r="F75"/>
      <c r="G75"/>
      <c r="H75"/>
      <c r="I75"/>
      <c r="J75"/>
      <c r="K75"/>
      <c r="L75"/>
      <c r="M75"/>
      <c r="N75"/>
      <c r="O75"/>
      <c r="P75"/>
      <c r="Q75"/>
      <c r="R75" s="192"/>
    </row>
    <row r="76" spans="1:18" s="192" customFormat="1" ht="23.25" x14ac:dyDescent="0.35">
      <c r="A76" s="216"/>
      <c r="B76" s="129" t="str">
        <f>IF($I$27,"Minskade utsläpp från överskottsel ingår ej - fortsätt nedåt","Minskade utsläpp från överskottsel från kraftvärmeanläggning, eee")</f>
        <v>Minskade utsläpp från överskottsel ingår ej - fortsätt nedåt</v>
      </c>
      <c r="C76" s="75"/>
      <c r="D76" s="75"/>
      <c r="E76" s="75"/>
      <c r="F76" s="75"/>
      <c r="G76" s="75"/>
      <c r="H76" s="75"/>
      <c r="I76" s="75"/>
      <c r="J76" s="75"/>
      <c r="K76" s="75"/>
      <c r="L76" s="75"/>
      <c r="M76" s="75"/>
      <c r="N76" s="75"/>
      <c r="O76" s="75"/>
      <c r="P76"/>
      <c r="Q76"/>
      <c r="R76"/>
    </row>
    <row r="77" spans="1:18" ht="17.25" x14ac:dyDescent="0.25">
      <c r="A77" s="323" t="s">
        <v>642</v>
      </c>
      <c r="B77" s="191" t="s">
        <v>566</v>
      </c>
      <c r="C77" s="166"/>
      <c r="D77" s="297">
        <v>25000</v>
      </c>
      <c r="E77" s="146" t="s">
        <v>623</v>
      </c>
      <c r="F77" s="131"/>
      <c r="G77" s="132"/>
      <c r="H77" s="144"/>
      <c r="I77" s="132"/>
      <c r="J77" s="132"/>
      <c r="K77" s="142"/>
      <c r="L77" s="142"/>
      <c r="M77" s="142"/>
      <c r="N77" s="142"/>
      <c r="O77" s="142"/>
      <c r="P77" s="142"/>
      <c r="Q77" s="142"/>
      <c r="R77" s="184"/>
    </row>
    <row r="78" spans="1:18" s="184" customFormat="1" ht="30" customHeight="1" x14ac:dyDescent="0.3">
      <c r="A78" s="323"/>
      <c r="B78" s="181"/>
      <c r="C78" s="143"/>
      <c r="D78" s="146"/>
      <c r="E78" s="146"/>
      <c r="F78" s="146"/>
      <c r="G78" s="132"/>
      <c r="H78" s="132"/>
      <c r="I78" s="132"/>
      <c r="J78" s="132"/>
      <c r="K78" s="142"/>
      <c r="L78" s="142"/>
      <c r="M78" s="142"/>
      <c r="N78" s="142"/>
      <c r="O78" s="142"/>
      <c r="P78" s="142"/>
      <c r="Q78" s="142"/>
      <c r="R78" s="192"/>
    </row>
    <row r="79" spans="1:18" s="229" customFormat="1" ht="30" customHeight="1" x14ac:dyDescent="0.25">
      <c r="A79" s="323"/>
      <c r="B79" s="191" t="s">
        <v>565</v>
      </c>
      <c r="C79" s="166"/>
      <c r="D79" s="297">
        <v>50000</v>
      </c>
      <c r="E79" s="146" t="s">
        <v>550</v>
      </c>
      <c r="F79" s="298"/>
      <c r="G79" s="144" t="s">
        <v>545</v>
      </c>
      <c r="H79" s="70">
        <f>IFERROR((D79-D81)*(D87/D85)-D83,0)</f>
        <v>6354.7195938149089</v>
      </c>
      <c r="I79" s="144" t="s">
        <v>550</v>
      </c>
      <c r="J79" s="132"/>
      <c r="K79" s="142"/>
      <c r="L79" s="142"/>
      <c r="M79" s="142"/>
      <c r="N79" s="142"/>
      <c r="O79" s="142"/>
      <c r="P79" s="142"/>
      <c r="Q79" s="142"/>
    </row>
    <row r="80" spans="1:18" s="192" customFormat="1" ht="30" customHeight="1" x14ac:dyDescent="0.3">
      <c r="A80" s="323"/>
      <c r="B80" s="181"/>
      <c r="C80" s="143"/>
      <c r="D80" s="146"/>
      <c r="E80" s="146"/>
      <c r="F80" s="131"/>
      <c r="G80" s="132"/>
      <c r="H80" s="132"/>
      <c r="I80" s="132"/>
      <c r="J80" s="132"/>
      <c r="K80" s="142"/>
      <c r="L80" s="142"/>
      <c r="M80" s="142"/>
      <c r="N80" s="142"/>
      <c r="O80" s="142"/>
      <c r="P80" s="142"/>
      <c r="Q80" s="142"/>
      <c r="R80" s="184"/>
    </row>
    <row r="81" spans="1:18" s="184" customFormat="1" x14ac:dyDescent="0.25">
      <c r="A81" s="323"/>
      <c r="B81" s="146" t="s">
        <v>567</v>
      </c>
      <c r="C81" s="143"/>
      <c r="D81" s="297">
        <v>800</v>
      </c>
      <c r="E81" s="146" t="s">
        <v>550</v>
      </c>
      <c r="F81" s="131"/>
      <c r="G81" s="144"/>
      <c r="H81" s="144"/>
      <c r="I81" s="144"/>
      <c r="J81" s="132"/>
      <c r="K81" s="142"/>
      <c r="L81" s="142"/>
      <c r="M81" s="142"/>
      <c r="N81" s="142"/>
      <c r="O81" s="142"/>
      <c r="P81" s="142"/>
      <c r="Q81" s="142"/>
      <c r="R81" s="192"/>
    </row>
    <row r="82" spans="1:18" s="192" customFormat="1" ht="19.5" x14ac:dyDescent="0.3">
      <c r="A82" s="323"/>
      <c r="B82" s="181"/>
      <c r="C82" s="143"/>
      <c r="D82" s="146"/>
      <c r="E82" s="146"/>
      <c r="F82" s="131"/>
      <c r="G82" s="144"/>
      <c r="H82" s="144"/>
      <c r="I82" s="144"/>
      <c r="J82" s="132"/>
      <c r="K82" s="142"/>
      <c r="L82" s="142"/>
      <c r="M82" s="142"/>
      <c r="N82" s="142"/>
      <c r="O82" s="142"/>
      <c r="P82" s="142"/>
      <c r="Q82" s="142"/>
    </row>
    <row r="83" spans="1:18" s="192" customFormat="1" x14ac:dyDescent="0.25">
      <c r="A83" s="323"/>
      <c r="B83" s="146" t="s">
        <v>551</v>
      </c>
      <c r="C83" s="143"/>
      <c r="D83" s="297">
        <v>5000</v>
      </c>
      <c r="E83" s="146" t="s">
        <v>550</v>
      </c>
      <c r="F83" s="131"/>
      <c r="G83" s="144" t="s">
        <v>554</v>
      </c>
      <c r="H83" s="208">
        <f>VLOOKUP(D89,'Beräkning överskottsel'!$A$2:$B$10,2,FALSE)</f>
        <v>0.43049999999999999</v>
      </c>
      <c r="I83" s="144"/>
      <c r="J83" s="132"/>
      <c r="K83" s="142"/>
      <c r="L83" s="142"/>
      <c r="M83" s="142"/>
      <c r="N83" s="142"/>
      <c r="O83" s="142"/>
      <c r="P83" s="142"/>
      <c r="Q83" s="142"/>
    </row>
    <row r="84" spans="1:18" s="192" customFormat="1" x14ac:dyDescent="0.25">
      <c r="A84" s="323"/>
      <c r="B84" s="146"/>
      <c r="C84" s="143"/>
      <c r="D84" s="146"/>
      <c r="E84" s="146"/>
      <c r="F84" s="131"/>
      <c r="G84" s="144"/>
      <c r="H84" s="144"/>
      <c r="I84" s="144"/>
      <c r="J84" s="132"/>
      <c r="K84" s="142"/>
      <c r="L84" s="142"/>
      <c r="M84" s="142"/>
      <c r="N84" s="142"/>
      <c r="O84" s="142"/>
      <c r="P84" s="142"/>
      <c r="Q84" s="142"/>
    </row>
    <row r="85" spans="1:18" s="192" customFormat="1" x14ac:dyDescent="0.25">
      <c r="A85" s="323"/>
      <c r="B85" s="146" t="s">
        <v>552</v>
      </c>
      <c r="C85" s="143"/>
      <c r="D85" s="297">
        <v>216650</v>
      </c>
      <c r="E85" s="146" t="s">
        <v>550</v>
      </c>
      <c r="F85" s="131"/>
      <c r="G85" s="144"/>
      <c r="H85" s="144"/>
      <c r="I85" s="144"/>
      <c r="J85" s="132"/>
      <c r="K85" s="142"/>
      <c r="L85" s="142"/>
      <c r="M85" s="142"/>
      <c r="N85" s="142"/>
      <c r="O85" s="142"/>
      <c r="P85" s="142"/>
      <c r="Q85" s="142"/>
    </row>
    <row r="86" spans="1:18" s="192" customFormat="1" ht="18" x14ac:dyDescent="0.35">
      <c r="A86" s="323"/>
      <c r="B86" s="146"/>
      <c r="C86" s="143"/>
      <c r="D86" s="146"/>
      <c r="E86" s="146"/>
      <c r="F86" s="131"/>
      <c r="G86" s="144" t="s">
        <v>647</v>
      </c>
      <c r="H86" s="70">
        <f>(VLOOKUP(D89,Indata!1:1048576,3,FALSE)*H79*1000)/H83</f>
        <v>1579971241.2588391</v>
      </c>
      <c r="I86" s="144" t="s">
        <v>563</v>
      </c>
      <c r="J86" s="132"/>
      <c r="K86" s="142"/>
      <c r="L86" s="142"/>
      <c r="M86" s="142"/>
      <c r="N86" s="142"/>
      <c r="O86" s="142"/>
      <c r="P86" s="142"/>
      <c r="Q86" s="142"/>
    </row>
    <row r="87" spans="1:18" s="192" customFormat="1" x14ac:dyDescent="0.25">
      <c r="A87" s="323"/>
      <c r="B87" s="146" t="s">
        <v>553</v>
      </c>
      <c r="C87" s="143"/>
      <c r="D87" s="297">
        <v>50000</v>
      </c>
      <c r="E87" s="146" t="s">
        <v>550</v>
      </c>
      <c r="F87" s="131"/>
      <c r="G87" s="144"/>
      <c r="H87" s="144"/>
      <c r="I87" s="144"/>
      <c r="J87" s="132"/>
      <c r="K87" s="142"/>
      <c r="L87" s="142"/>
      <c r="M87" s="142"/>
      <c r="N87" s="142"/>
      <c r="O87" s="142"/>
      <c r="P87" s="142"/>
      <c r="Q87" s="142"/>
    </row>
    <row r="88" spans="1:18" s="192" customFormat="1" ht="18" x14ac:dyDescent="0.35">
      <c r="A88" s="323"/>
      <c r="B88" s="146"/>
      <c r="C88" s="143"/>
      <c r="D88" s="146"/>
      <c r="E88" s="146"/>
      <c r="F88" s="131"/>
      <c r="G88" s="144"/>
      <c r="H88" s="209">
        <f>H86/1000000</f>
        <v>1579.9712412588392</v>
      </c>
      <c r="I88" s="144" t="s">
        <v>564</v>
      </c>
      <c r="J88" s="132"/>
      <c r="K88" s="142"/>
      <c r="L88" s="142"/>
      <c r="M88" s="220" t="s">
        <v>588</v>
      </c>
      <c r="N88" s="101">
        <f>H86/IF($D$23="Eget värmevärde",G23*D77,(VLOOKUP($D$23,Indata!1:1048576,4,FALSE)*D77))</f>
        <v>1.6631276223777254</v>
      </c>
      <c r="O88" s="220" t="s">
        <v>433</v>
      </c>
      <c r="P88" s="142"/>
      <c r="Q88" s="142"/>
    </row>
    <row r="89" spans="1:18" s="192" customFormat="1" x14ac:dyDescent="0.25">
      <c r="A89" s="323"/>
      <c r="B89" s="146" t="s">
        <v>624</v>
      </c>
      <c r="C89" s="143" t="s">
        <v>436</v>
      </c>
      <c r="D89" s="157" t="s">
        <v>503</v>
      </c>
      <c r="E89" s="131"/>
      <c r="F89" s="131"/>
      <c r="G89" s="132"/>
      <c r="H89" s="132"/>
      <c r="I89" s="132"/>
      <c r="J89" s="132"/>
      <c r="K89" s="222"/>
      <c r="L89" s="142"/>
      <c r="M89" s="142"/>
      <c r="N89" s="142"/>
      <c r="O89" s="221" t="str">
        <f>IF(M88&lt;0.1,"Emissionerna understiger 0.1 g CO2eq/MJ","")</f>
        <v/>
      </c>
      <c r="P89" s="221" t="str">
        <f>IF(N88&lt;0.1,"Emissionerna understiger 0.1 g CO2eq/MJ","")</f>
        <v/>
      </c>
      <c r="Q89" s="222"/>
      <c r="R89" s="184"/>
    </row>
    <row r="90" spans="1:18" s="184" customFormat="1" x14ac:dyDescent="0.25">
      <c r="A90" s="323"/>
      <c r="B90" s="146"/>
      <c r="C90" s="146"/>
      <c r="D90" s="146"/>
      <c r="E90" s="146"/>
      <c r="F90" s="146"/>
      <c r="G90" s="132"/>
      <c r="H90" s="132"/>
      <c r="I90" s="132"/>
      <c r="J90" s="132"/>
      <c r="K90" s="222"/>
      <c r="L90" s="222"/>
      <c r="M90" s="222"/>
      <c r="N90" s="222"/>
      <c r="O90" s="222"/>
      <c r="P90" s="222"/>
      <c r="Q90" s="222"/>
    </row>
    <row r="91" spans="1:18" s="184" customFormat="1" x14ac:dyDescent="0.25">
      <c r="A91" s="150"/>
      <c r="B91"/>
      <c r="C91" s="161"/>
      <c r="D91"/>
      <c r="E91"/>
      <c r="F91"/>
      <c r="G91"/>
      <c r="H91"/>
      <c r="I91"/>
      <c r="J91"/>
      <c r="K91"/>
      <c r="L91"/>
      <c r="M91"/>
      <c r="N91"/>
      <c r="O91"/>
      <c r="P91"/>
      <c r="Q91"/>
      <c r="R91"/>
    </row>
    <row r="92" spans="1:18" s="229" customFormat="1" ht="23.25" x14ac:dyDescent="0.35">
      <c r="B92" s="129" t="str">
        <f>IF($I$27,"Bearbetning (raffinering av olja) ingår ej - fortsätt nedåt","Bearbetning-Raffinering av olja, ep")</f>
        <v>Bearbetning (raffinering av olja) ingår ej - fortsätt nedåt</v>
      </c>
    </row>
    <row r="93" spans="1:18" s="229" customFormat="1" x14ac:dyDescent="0.25">
      <c r="A93" s="323" t="s">
        <v>643</v>
      </c>
      <c r="B93" s="217"/>
      <c r="C93" s="217"/>
      <c r="D93" s="217"/>
      <c r="E93" s="217"/>
      <c r="F93" s="217"/>
      <c r="G93" s="218"/>
      <c r="H93" s="218"/>
      <c r="I93" s="218"/>
      <c r="J93" s="218"/>
      <c r="K93" s="17"/>
      <c r="L93" s="17"/>
      <c r="M93" s="17"/>
      <c r="N93" s="17"/>
      <c r="O93" s="17"/>
      <c r="P93" s="17"/>
      <c r="Q93" s="17"/>
    </row>
    <row r="94" spans="1:18" s="229" customFormat="1" x14ac:dyDescent="0.25">
      <c r="A94" s="323"/>
      <c r="B94" s="217" t="s">
        <v>584</v>
      </c>
      <c r="C94" s="185" t="s">
        <v>436</v>
      </c>
      <c r="D94" s="157" t="s">
        <v>608</v>
      </c>
      <c r="E94" s="217" t="s">
        <v>105</v>
      </c>
      <c r="F94" s="217"/>
      <c r="G94" s="219" t="s">
        <v>586</v>
      </c>
      <c r="H94" s="218" t="s">
        <v>585</v>
      </c>
      <c r="I94" s="218"/>
      <c r="J94" s="218"/>
      <c r="K94" s="17"/>
      <c r="L94" s="17"/>
      <c r="M94" s="17"/>
      <c r="N94" s="17"/>
      <c r="O94" s="17"/>
      <c r="P94" s="17"/>
      <c r="Q94" s="17"/>
    </row>
    <row r="95" spans="1:18" s="212" customFormat="1" x14ac:dyDescent="0.25">
      <c r="A95" s="323"/>
      <c r="B95" s="217"/>
      <c r="C95" s="217"/>
      <c r="D95" s="217"/>
      <c r="E95" s="217"/>
      <c r="F95" s="217"/>
      <c r="G95" s="218"/>
      <c r="H95" s="218" t="s">
        <v>602</v>
      </c>
      <c r="I95" s="218"/>
      <c r="J95" s="218"/>
      <c r="K95" s="17"/>
      <c r="L95" s="17"/>
      <c r="M95" s="17" t="s">
        <v>284</v>
      </c>
      <c r="N95" s="209">
        <f>IF(D62="Okänd",0,H101+H104)</f>
        <v>6.4003584785664724</v>
      </c>
      <c r="O95" s="17" t="s">
        <v>580</v>
      </c>
      <c r="P95" s="17"/>
      <c r="Q95" s="17"/>
    </row>
    <row r="96" spans="1:18" s="212" customFormat="1" x14ac:dyDescent="0.25">
      <c r="A96" s="323"/>
      <c r="B96" s="185" t="s">
        <v>622</v>
      </c>
      <c r="C96" s="217"/>
      <c r="D96" s="217"/>
      <c r="E96" s="217"/>
      <c r="F96" s="217"/>
      <c r="G96" s="218"/>
      <c r="H96" s="218" t="s">
        <v>625</v>
      </c>
      <c r="I96" s="218"/>
      <c r="J96" s="218"/>
      <c r="K96" s="17"/>
      <c r="L96" s="17"/>
      <c r="M96" s="17"/>
      <c r="N96" s="17"/>
      <c r="O96" s="17"/>
      <c r="P96" s="17"/>
      <c r="Q96" s="17"/>
    </row>
    <row r="97" spans="1:18" s="212" customFormat="1" ht="18" x14ac:dyDescent="0.35">
      <c r="A97" s="323"/>
      <c r="B97" s="217" t="s">
        <v>75</v>
      </c>
      <c r="C97" s="217"/>
      <c r="D97" s="296">
        <v>0.98</v>
      </c>
      <c r="E97" s="217" t="s">
        <v>626</v>
      </c>
      <c r="F97" s="217"/>
      <c r="G97" s="218"/>
      <c r="H97" s="218" t="s">
        <v>614</v>
      </c>
      <c r="I97" s="218"/>
      <c r="J97" s="218"/>
      <c r="K97" s="17"/>
      <c r="L97" s="17"/>
      <c r="M97" s="17"/>
      <c r="N97" s="17"/>
      <c r="O97" s="17"/>
      <c r="P97" s="17"/>
      <c r="Q97" s="17"/>
    </row>
    <row r="98" spans="1:18" s="212" customFormat="1" x14ac:dyDescent="0.25">
      <c r="A98" s="323"/>
      <c r="B98" s="217"/>
      <c r="C98" s="217"/>
      <c r="D98" s="217"/>
      <c r="E98" s="217"/>
      <c r="F98" s="217"/>
      <c r="G98" s="218"/>
      <c r="H98" s="218"/>
      <c r="I98" s="218"/>
      <c r="J98" s="218"/>
      <c r="K98" s="17"/>
      <c r="L98" s="17"/>
      <c r="M98" s="17"/>
      <c r="N98" s="17"/>
      <c r="O98" s="17"/>
      <c r="P98" s="17"/>
      <c r="Q98" s="17"/>
    </row>
    <row r="99" spans="1:18" s="212" customFormat="1" x14ac:dyDescent="0.25">
      <c r="A99" s="323"/>
      <c r="B99" s="185" t="s">
        <v>616</v>
      </c>
      <c r="C99" s="217"/>
      <c r="D99" s="217"/>
      <c r="E99" s="217"/>
      <c r="F99" s="217"/>
      <c r="G99" s="218"/>
      <c r="H99" s="218"/>
      <c r="I99" s="218"/>
      <c r="J99" s="218"/>
      <c r="K99" s="17"/>
      <c r="L99" s="17"/>
      <c r="M99" s="17"/>
      <c r="N99" s="17"/>
      <c r="O99" s="17"/>
      <c r="P99" s="17"/>
      <c r="Q99" s="17"/>
    </row>
    <row r="100" spans="1:18" s="212" customFormat="1" ht="18" x14ac:dyDescent="0.35">
      <c r="A100" s="323"/>
      <c r="B100" s="217" t="s">
        <v>617</v>
      </c>
      <c r="C100" s="217"/>
      <c r="D100" s="296">
        <v>0.02</v>
      </c>
      <c r="E100" s="217" t="s">
        <v>629</v>
      </c>
      <c r="F100" s="217"/>
      <c r="G100" s="218"/>
      <c r="H100" s="218"/>
      <c r="I100" s="218"/>
      <c r="J100" s="218"/>
      <c r="K100" s="17"/>
      <c r="L100" s="17"/>
      <c r="M100" s="17"/>
      <c r="N100" s="17"/>
      <c r="O100" s="17"/>
      <c r="P100" s="17"/>
      <c r="Q100" s="17"/>
    </row>
    <row r="101" spans="1:18" s="212" customFormat="1" x14ac:dyDescent="0.25">
      <c r="A101" s="323"/>
      <c r="B101" s="217" t="s">
        <v>632</v>
      </c>
      <c r="C101" s="143" t="s">
        <v>436</v>
      </c>
      <c r="D101" s="296" t="s">
        <v>634</v>
      </c>
      <c r="E101" s="217"/>
      <c r="F101" s="217"/>
      <c r="G101" s="218" t="s">
        <v>637</v>
      </c>
      <c r="H101" s="101">
        <f>D100*VLOOKUP(D101,Indata!$1:$1048576,3,FALSE)</f>
        <v>2.5837938888888892</v>
      </c>
      <c r="I101" s="218" t="s">
        <v>640</v>
      </c>
      <c r="J101" s="218"/>
      <c r="K101" s="17"/>
      <c r="L101" s="17"/>
      <c r="M101" s="17"/>
      <c r="N101" s="17"/>
      <c r="O101" s="17"/>
      <c r="P101" s="17"/>
      <c r="Q101" s="17"/>
    </row>
    <row r="102" spans="1:18" s="212" customFormat="1" x14ac:dyDescent="0.25">
      <c r="A102" s="323"/>
      <c r="B102" s="217"/>
      <c r="C102" s="143"/>
      <c r="D102" s="157"/>
      <c r="E102" s="217"/>
      <c r="F102" s="217"/>
      <c r="G102" s="218"/>
      <c r="H102" s="218"/>
      <c r="I102" s="218"/>
      <c r="J102" s="218"/>
      <c r="K102" s="17"/>
      <c r="L102" s="17"/>
      <c r="M102" s="17"/>
      <c r="N102" s="17"/>
      <c r="O102" s="17"/>
      <c r="P102" s="17"/>
      <c r="Q102" s="17"/>
    </row>
    <row r="103" spans="1:18" s="212" customFormat="1" ht="18" x14ac:dyDescent="0.35">
      <c r="A103" s="323"/>
      <c r="B103" s="217" t="s">
        <v>618</v>
      </c>
      <c r="C103" s="217"/>
      <c r="D103" s="296">
        <v>0.05</v>
      </c>
      <c r="E103" s="217" t="s">
        <v>629</v>
      </c>
      <c r="F103" s="217"/>
      <c r="G103" s="218"/>
      <c r="H103" s="218"/>
      <c r="I103" s="218"/>
      <c r="J103" s="218"/>
      <c r="K103" s="17"/>
      <c r="L103" s="17"/>
      <c r="M103" s="17"/>
      <c r="N103" s="17"/>
      <c r="O103" s="17"/>
      <c r="P103" s="17"/>
      <c r="Q103" s="17"/>
    </row>
    <row r="104" spans="1:18" s="212" customFormat="1" x14ac:dyDescent="0.25">
      <c r="A104" s="323"/>
      <c r="B104" s="217" t="s">
        <v>630</v>
      </c>
      <c r="C104" s="217"/>
      <c r="D104" s="296">
        <v>0.9</v>
      </c>
      <c r="E104" s="217" t="s">
        <v>628</v>
      </c>
      <c r="F104" s="217"/>
      <c r="G104" s="218" t="s">
        <v>639</v>
      </c>
      <c r="H104" s="101">
        <f>D103/D104*VLOOKUP(D105,Indata!$1:$1048576,3,FALSE)</f>
        <v>3.8165645896775837</v>
      </c>
      <c r="I104" s="218" t="s">
        <v>640</v>
      </c>
      <c r="J104" s="218"/>
      <c r="K104" s="17"/>
      <c r="L104" s="17"/>
      <c r="M104" s="17"/>
      <c r="N104" s="17"/>
      <c r="O104" s="17"/>
      <c r="P104" s="17"/>
      <c r="Q104" s="17"/>
    </row>
    <row r="105" spans="1:18" s="212" customFormat="1" x14ac:dyDescent="0.25">
      <c r="A105" s="323"/>
      <c r="B105" s="217" t="s">
        <v>619</v>
      </c>
      <c r="C105" s="143" t="s">
        <v>436</v>
      </c>
      <c r="D105" s="157" t="s">
        <v>77</v>
      </c>
      <c r="E105" s="217"/>
      <c r="F105" s="217"/>
      <c r="G105" s="218"/>
      <c r="H105" s="218"/>
      <c r="I105" s="218"/>
      <c r="J105" s="218"/>
      <c r="K105" s="17"/>
      <c r="L105" s="17"/>
      <c r="M105" s="17"/>
      <c r="N105" s="17"/>
      <c r="O105" s="17"/>
      <c r="P105" s="17"/>
      <c r="Q105" s="17"/>
    </row>
    <row r="106" spans="1:18" s="212" customFormat="1" x14ac:dyDescent="0.25">
      <c r="A106" s="211"/>
    </row>
    <row r="107" spans="1:18" ht="23.25" x14ac:dyDescent="0.35">
      <c r="B107" s="129" t="s">
        <v>660</v>
      </c>
      <c r="C107" s="129"/>
    </row>
    <row r="108" spans="1:18" x14ac:dyDescent="0.25">
      <c r="A108" s="316" t="s">
        <v>536</v>
      </c>
      <c r="B108" s="131"/>
      <c r="C108" s="131"/>
      <c r="D108" s="131"/>
      <c r="E108" s="131"/>
      <c r="F108" s="131"/>
      <c r="G108" s="132"/>
      <c r="H108" s="132"/>
      <c r="I108" s="132"/>
      <c r="J108" s="132"/>
      <c r="K108" s="142"/>
      <c r="L108" s="142"/>
      <c r="M108" s="142"/>
      <c r="N108" s="142"/>
      <c r="O108" s="142"/>
      <c r="P108" s="142"/>
      <c r="Q108" s="142"/>
    </row>
    <row r="109" spans="1:18" x14ac:dyDescent="0.25">
      <c r="A109" s="316"/>
      <c r="B109" s="186" t="s">
        <v>521</v>
      </c>
      <c r="C109" s="143" t="s">
        <v>436</v>
      </c>
      <c r="D109" s="157" t="s">
        <v>143</v>
      </c>
      <c r="E109" s="131"/>
      <c r="F109" s="131"/>
      <c r="G109" s="303"/>
      <c r="H109" s="132"/>
      <c r="I109" s="132"/>
      <c r="J109" s="132"/>
      <c r="K109" s="142"/>
      <c r="L109" s="142"/>
      <c r="M109" s="142"/>
      <c r="N109" s="142"/>
      <c r="O109" s="142"/>
      <c r="P109" s="142"/>
      <c r="Q109" s="142"/>
    </row>
    <row r="110" spans="1:18" x14ac:dyDescent="0.25">
      <c r="A110" s="316"/>
      <c r="B110" s="186"/>
      <c r="C110" s="143"/>
      <c r="D110" s="131"/>
      <c r="E110" s="298"/>
      <c r="F110" s="131"/>
      <c r="G110" s="132"/>
      <c r="H110" s="132"/>
      <c r="I110" s="132"/>
      <c r="J110" s="132"/>
      <c r="K110" s="142"/>
      <c r="L110" s="142"/>
      <c r="M110" s="142"/>
      <c r="N110" s="142"/>
      <c r="O110" s="142"/>
      <c r="P110" s="142"/>
      <c r="Q110" s="142"/>
      <c r="R110" s="183"/>
    </row>
    <row r="111" spans="1:18" s="183" customFormat="1" ht="18" x14ac:dyDescent="0.35">
      <c r="A111" s="316"/>
      <c r="B111" s="143" t="s">
        <v>143</v>
      </c>
      <c r="C111" s="131"/>
      <c r="D111" s="131"/>
      <c r="E111" s="131"/>
      <c r="F111" s="131"/>
      <c r="G111" s="144" t="s">
        <v>280</v>
      </c>
      <c r="H111" s="169" t="str">
        <f>D112</f>
        <v>Stor tankbil</v>
      </c>
      <c r="I111" s="132"/>
      <c r="J111" s="132"/>
      <c r="K111" s="142"/>
      <c r="L111" s="142"/>
      <c r="M111" s="145" t="s">
        <v>286</v>
      </c>
      <c r="N111" s="101">
        <f>VLOOKUP(D113,Indata!$1:$1048576,22,FALSE)*(H113/D114)</f>
        <v>1202.086065</v>
      </c>
      <c r="O111" s="145" t="s">
        <v>283</v>
      </c>
      <c r="P111" s="142"/>
      <c r="Q111" s="142"/>
      <c r="R111"/>
    </row>
    <row r="112" spans="1:18" x14ac:dyDescent="0.25">
      <c r="A112" s="316"/>
      <c r="B112" s="131" t="s">
        <v>1</v>
      </c>
      <c r="C112" s="143" t="s">
        <v>436</v>
      </c>
      <c r="D112" s="157" t="s">
        <v>193</v>
      </c>
      <c r="E112" s="131"/>
      <c r="F112" s="131"/>
      <c r="G112" s="144" t="s">
        <v>385</v>
      </c>
      <c r="H112" s="169" t="str">
        <f>D113</f>
        <v>Diesel (5 % RME)</v>
      </c>
      <c r="I112" s="144"/>
      <c r="J112" s="132"/>
      <c r="K112" s="142"/>
      <c r="L112" s="142"/>
      <c r="M112" s="142"/>
      <c r="N112" s="142"/>
      <c r="O112" s="142"/>
      <c r="P112" s="142"/>
      <c r="Q112" s="142"/>
    </row>
    <row r="113" spans="1:18" x14ac:dyDescent="0.25">
      <c r="A113" s="316"/>
      <c r="B113" s="146" t="s">
        <v>386</v>
      </c>
      <c r="C113" s="143" t="s">
        <v>436</v>
      </c>
      <c r="D113" s="157" t="s">
        <v>388</v>
      </c>
      <c r="E113" s="131"/>
      <c r="F113" s="131"/>
      <c r="G113" s="144" t="s">
        <v>278</v>
      </c>
      <c r="H113" s="170">
        <f>VLOOKUP(D112,Indata!$1:$1048576,10,FALSE)*D114</f>
        <v>13.35</v>
      </c>
      <c r="I113" s="144" t="s">
        <v>281</v>
      </c>
      <c r="J113" s="132"/>
      <c r="K113" s="142"/>
      <c r="L113" s="142"/>
      <c r="M113" s="142"/>
      <c r="N113" s="142"/>
      <c r="O113" s="142"/>
      <c r="P113" s="142"/>
      <c r="Q113" s="142"/>
    </row>
    <row r="114" spans="1:18" x14ac:dyDescent="0.25">
      <c r="A114" s="316"/>
      <c r="B114" s="146" t="s">
        <v>279</v>
      </c>
      <c r="C114" s="143"/>
      <c r="D114" s="157">
        <v>30</v>
      </c>
      <c r="E114" s="146" t="s">
        <v>7</v>
      </c>
      <c r="F114" s="131"/>
      <c r="G114" s="132"/>
      <c r="H114" s="170">
        <f>VLOOKUP(D112,Indata!$1:$1048576,9,FALSE)*D114</f>
        <v>7.38</v>
      </c>
      <c r="I114" s="144" t="s">
        <v>282</v>
      </c>
      <c r="J114" s="132"/>
      <c r="K114" s="142"/>
      <c r="L114" s="142"/>
      <c r="M114" s="142"/>
      <c r="N114" s="142"/>
      <c r="O114" s="142"/>
      <c r="P114" s="142"/>
      <c r="Q114" s="142"/>
    </row>
    <row r="115" spans="1:18" x14ac:dyDescent="0.25">
      <c r="A115" s="316"/>
      <c r="B115" s="131"/>
      <c r="C115" s="131"/>
      <c r="D115" s="131"/>
      <c r="E115" s="131"/>
      <c r="F115" s="131"/>
      <c r="G115" s="144" t="s">
        <v>2</v>
      </c>
      <c r="H115" s="169">
        <f>D114</f>
        <v>30</v>
      </c>
      <c r="I115" s="144" t="s">
        <v>7</v>
      </c>
      <c r="J115" s="132"/>
      <c r="K115" s="142"/>
      <c r="L115" s="142"/>
      <c r="M115" s="142"/>
      <c r="N115" s="142"/>
      <c r="O115" s="142"/>
      <c r="P115" s="142"/>
      <c r="Q115" s="142"/>
    </row>
    <row r="116" spans="1:18" ht="18" x14ac:dyDescent="0.35">
      <c r="A116" s="316"/>
      <c r="B116" s="131"/>
      <c r="C116" s="131"/>
      <c r="D116" s="131"/>
      <c r="E116" s="131"/>
      <c r="F116" s="131"/>
      <c r="G116" s="144" t="s">
        <v>437</v>
      </c>
      <c r="H116" s="158">
        <f>IF(D113="RME (100 %)","-",VLOOKUP(D113,Indata!$1:$1048576,22,FALSE))</f>
        <v>2701.317</v>
      </c>
      <c r="I116" s="144" t="s">
        <v>390</v>
      </c>
      <c r="J116" s="132"/>
      <c r="K116" s="142"/>
      <c r="L116" s="142"/>
      <c r="M116" s="142" t="s">
        <v>287</v>
      </c>
      <c r="N116" s="101">
        <f>IF($D$23= "Eget värmevärde",(VLOOKUP(D113,Indata!$1:$1048576,22,FALSE)*VLOOKUP(Växthusgasberäkning!D112,Indata!$1:$1048576,10,FALSE)*Växthusgasberäkning!D114)/VLOOKUP(D112,Indata!$1:$1048576,7,FALSE)/$G$23,(VLOOKUP(D113,Indata!$1:$1048576,22,FALSE)*VLOOKUP(Växthusgasberäkning!D112,Indata!$1:$1048576,10,FALSE)*Växthusgasberäkning!D114)/VLOOKUP(D112,Indata!$1:$1048576,7,FALSE)/VLOOKUP(Växthusgasberäkning!$D$23,Indata!$1:$1048576,4,FALSE))</f>
        <v>2.8758039832535887E-2</v>
      </c>
      <c r="O116" s="142" t="s">
        <v>285</v>
      </c>
      <c r="P116" s="142"/>
      <c r="Q116" s="142"/>
    </row>
    <row r="117" spans="1:18" x14ac:dyDescent="0.25">
      <c r="A117" s="316"/>
      <c r="B117" s="131"/>
      <c r="C117" s="131"/>
      <c r="D117" s="131"/>
      <c r="E117" s="131"/>
      <c r="F117" s="131"/>
      <c r="G117" s="132"/>
      <c r="H117" s="132"/>
      <c r="I117" s="132"/>
      <c r="J117" s="132"/>
      <c r="K117" s="142"/>
      <c r="L117" s="142"/>
      <c r="M117" s="142" t="s">
        <v>288</v>
      </c>
      <c r="N117" s="101">
        <f>IF($D$23="Eget värmevärde",(VLOOKUP(D113,Indata!$1:$1048576,22,FALSE)*VLOOKUP(Växthusgasberäkning!D112,Indata!$1:$1048576,9,FALSE)*Växthusgasberäkning!D114)/VLOOKUP(D112,Indata!$1:$1048576,7,FALSE)/$G$23,(VLOOKUP(D113,Indata!$1:$1048576,22,FALSE)*VLOOKUP(Växthusgasberäkning!D112,Indata!$1:$1048576,9,FALSE)*Växthusgasberäkning!D114)/VLOOKUP(D112,Indata!$1:$1048576,7,FALSE)/VLOOKUP(Växthusgasberäkning!$D$23,Indata!$1:$1048576,4,FALSE))</f>
        <v>1.5897702918660286E-2</v>
      </c>
      <c r="O117" s="142" t="s">
        <v>285</v>
      </c>
      <c r="P117" s="142"/>
      <c r="Q117" s="142"/>
    </row>
    <row r="118" spans="1:18" x14ac:dyDescent="0.25">
      <c r="A118" s="316"/>
      <c r="B118" s="131"/>
      <c r="C118" s="131"/>
      <c r="D118" s="131"/>
      <c r="E118" s="131"/>
      <c r="F118" s="131"/>
      <c r="G118" s="132"/>
      <c r="H118" s="132"/>
      <c r="I118" s="132"/>
      <c r="J118" s="132"/>
      <c r="K118" s="142"/>
      <c r="L118" s="142"/>
      <c r="M118" s="142"/>
      <c r="N118" s="142"/>
      <c r="O118" s="142"/>
      <c r="P118" s="142"/>
      <c r="Q118" s="142"/>
    </row>
    <row r="119" spans="1:18" x14ac:dyDescent="0.25">
      <c r="A119" s="316"/>
      <c r="B119" s="130"/>
      <c r="C119" s="130"/>
      <c r="D119" s="131"/>
      <c r="E119" s="131"/>
      <c r="F119" s="131"/>
      <c r="G119" s="132"/>
      <c r="H119" s="132"/>
      <c r="I119" s="132"/>
      <c r="J119" s="132"/>
      <c r="K119" s="142"/>
      <c r="L119" s="142"/>
      <c r="M119" s="142" t="s">
        <v>284</v>
      </c>
      <c r="N119" s="101">
        <f>IF(D109="Vägtransport",(N117+N116),0)</f>
        <v>4.4655742751196173E-2</v>
      </c>
      <c r="O119" s="142" t="s">
        <v>285</v>
      </c>
      <c r="P119" s="142" t="str">
        <f>IF($N$119&lt;0.1,"Emissionerna understiger 0.1 g CO2eq/MJ","")</f>
        <v>Emissionerna understiger 0.1 g CO2eq/MJ</v>
      </c>
      <c r="Q119" s="142"/>
    </row>
    <row r="120" spans="1:18" x14ac:dyDescent="0.25">
      <c r="A120" s="316"/>
      <c r="B120" s="130"/>
      <c r="C120" s="130"/>
      <c r="D120" s="131"/>
      <c r="E120" s="131"/>
      <c r="F120" s="131"/>
      <c r="G120" s="132"/>
      <c r="H120" s="132"/>
      <c r="I120" s="132"/>
      <c r="J120" s="132"/>
      <c r="K120" s="142"/>
      <c r="L120" s="142"/>
      <c r="M120" s="142"/>
      <c r="N120" s="142"/>
      <c r="O120" s="142"/>
      <c r="P120" s="142"/>
      <c r="Q120" s="142"/>
    </row>
    <row r="121" spans="1:18" ht="19.5" x14ac:dyDescent="0.3">
      <c r="A121" s="316"/>
      <c r="B121" s="185" t="s">
        <v>145</v>
      </c>
      <c r="C121" s="181"/>
      <c r="D121" s="181"/>
      <c r="E121" s="181"/>
      <c r="F121" s="181"/>
      <c r="G121" s="132"/>
      <c r="H121" s="132"/>
      <c r="I121" s="132"/>
      <c r="J121" s="132"/>
      <c r="K121" s="142"/>
      <c r="L121" s="142"/>
      <c r="M121" s="142"/>
      <c r="N121" s="142"/>
      <c r="O121" s="142"/>
      <c r="P121" s="142"/>
      <c r="Q121" s="142"/>
    </row>
    <row r="122" spans="1:18" ht="19.5" x14ac:dyDescent="0.3">
      <c r="A122" s="316"/>
      <c r="B122" s="131" t="s">
        <v>245</v>
      </c>
      <c r="C122" s="143" t="s">
        <v>436</v>
      </c>
      <c r="D122" s="157" t="s">
        <v>383</v>
      </c>
      <c r="E122" s="181"/>
      <c r="F122" s="181"/>
      <c r="G122" s="144" t="s">
        <v>278</v>
      </c>
      <c r="H122" s="285">
        <f>Indata!$K$54</f>
        <v>2.4E-2</v>
      </c>
      <c r="I122" s="144" t="s">
        <v>13</v>
      </c>
      <c r="J122" s="132"/>
      <c r="K122" s="142"/>
      <c r="L122" s="142"/>
      <c r="M122" s="145" t="s">
        <v>295</v>
      </c>
      <c r="N122" s="70">
        <f>IF(D122="Eget avstånd",(H123*H122*VLOOKUP(D123,Indata!$1:$1048576,4,FALSE)),(500*H122*VLOOKUP(D123,Indata!$1:$1048576,4,FALSE)))</f>
        <v>491520</v>
      </c>
      <c r="O122" s="145" t="s">
        <v>8</v>
      </c>
      <c r="P122" s="142"/>
      <c r="Q122" s="142"/>
      <c r="R122" s="183"/>
    </row>
    <row r="123" spans="1:18" s="183" customFormat="1" ht="19.5" x14ac:dyDescent="0.3">
      <c r="A123" s="316"/>
      <c r="B123" s="146" t="s">
        <v>296</v>
      </c>
      <c r="C123" s="143" t="s">
        <v>436</v>
      </c>
      <c r="D123" s="157" t="s">
        <v>298</v>
      </c>
      <c r="E123" s="181"/>
      <c r="F123" s="181"/>
      <c r="G123" s="144" t="s">
        <v>294</v>
      </c>
      <c r="H123" s="154">
        <f>IF(D122="Okänt","500",C125)</f>
        <v>500</v>
      </c>
      <c r="I123" s="144" t="s">
        <v>7</v>
      </c>
      <c r="J123" s="132"/>
      <c r="K123" s="142"/>
      <c r="L123" s="142"/>
      <c r="M123" s="145" t="s">
        <v>304</v>
      </c>
      <c r="N123" s="70">
        <f>N122*VLOOKUP(D123,Indata!$A$5:$W$99,3,FALSE)</f>
        <v>43326567.496570319</v>
      </c>
      <c r="O123" s="145" t="s">
        <v>128</v>
      </c>
      <c r="P123" s="142"/>
      <c r="Q123" s="142"/>
    </row>
    <row r="124" spans="1:18" s="183" customFormat="1" ht="19.5" x14ac:dyDescent="0.3">
      <c r="A124" s="316"/>
      <c r="B124" s="181"/>
      <c r="C124" s="181"/>
      <c r="D124" s="181"/>
      <c r="E124" s="181"/>
      <c r="F124" s="181"/>
      <c r="G124" s="144" t="s">
        <v>530</v>
      </c>
      <c r="H124" s="318" t="str">
        <f>Indata!$A$54</f>
        <v>coastal</v>
      </c>
      <c r="I124" s="319"/>
      <c r="J124" s="132"/>
      <c r="K124" s="142"/>
      <c r="L124" s="142"/>
      <c r="M124" s="145" t="s">
        <v>305</v>
      </c>
      <c r="N124" s="101">
        <f>N123/(VLOOKUP(H124,Indata!$A$5:$V$96,8,FALSE)*VLOOKUP(H124,Indata!$A$5:$V$96,7,FALSE)*H123)</f>
        <v>29.373944065471402</v>
      </c>
      <c r="O124" s="145" t="s">
        <v>14</v>
      </c>
      <c r="P124" s="142"/>
      <c r="Q124" s="142"/>
    </row>
    <row r="125" spans="1:18" s="183" customFormat="1" ht="19.5" x14ac:dyDescent="0.3">
      <c r="A125" s="316"/>
      <c r="B125" s="191" t="s">
        <v>541</v>
      </c>
      <c r="C125" s="320">
        <v>500</v>
      </c>
      <c r="D125" s="320"/>
      <c r="E125" s="270" t="s">
        <v>7</v>
      </c>
      <c r="F125" s="181"/>
      <c r="G125" s="132"/>
      <c r="H125" s="132"/>
      <c r="I125" s="132"/>
      <c r="J125" s="132"/>
      <c r="K125" s="142"/>
      <c r="L125" s="142"/>
      <c r="M125" s="142"/>
      <c r="N125" s="142"/>
      <c r="O125" s="142"/>
      <c r="P125" s="142"/>
      <c r="Q125" s="142"/>
    </row>
    <row r="126" spans="1:18" s="183" customFormat="1" ht="19.5" x14ac:dyDescent="0.3">
      <c r="A126" s="316"/>
      <c r="B126" s="131"/>
      <c r="C126" s="131"/>
      <c r="D126" s="131"/>
      <c r="E126" s="181"/>
      <c r="F126" s="181"/>
      <c r="G126" s="132"/>
      <c r="H126" s="132"/>
      <c r="I126" s="132"/>
      <c r="J126" s="132"/>
      <c r="K126" s="142"/>
      <c r="L126" s="142"/>
      <c r="M126" s="142" t="s">
        <v>284</v>
      </c>
      <c r="N126" s="101" t="str">
        <f>IF(D109= "Vägtransport","0",IF($D$23="Eget värmevärde",N124*H123/$G$23,N124*H123/VLOOKUP($D$23,Indata!$1:$1048576,4,FALSE)))</f>
        <v>0</v>
      </c>
      <c r="O126" s="142" t="s">
        <v>262</v>
      </c>
      <c r="P126" s="142" t="str">
        <f>IF(N126&lt;0.1,"Emissionerna understiger 0.1 g CO2eq/MJ","")</f>
        <v/>
      </c>
      <c r="Q126" s="142"/>
    </row>
    <row r="127" spans="1:18" s="183" customFormat="1" x14ac:dyDescent="0.25">
      <c r="A127" s="316"/>
      <c r="B127"/>
      <c r="C127"/>
      <c r="D127"/>
      <c r="E127"/>
      <c r="F127"/>
      <c r="G127"/>
      <c r="H127"/>
      <c r="I127"/>
      <c r="J127"/>
      <c r="K127"/>
      <c r="L127"/>
      <c r="M127"/>
      <c r="N127"/>
      <c r="O127"/>
      <c r="P127"/>
      <c r="Q127"/>
    </row>
    <row r="128" spans="1:18" s="183" customFormat="1" x14ac:dyDescent="0.25">
      <c r="A128" s="316"/>
      <c r="B128"/>
      <c r="C128"/>
      <c r="D128"/>
      <c r="E128"/>
      <c r="F128"/>
      <c r="G128"/>
      <c r="H128"/>
      <c r="I128"/>
      <c r="J128"/>
      <c r="K128"/>
      <c r="L128"/>
      <c r="M128"/>
      <c r="N128"/>
      <c r="O128"/>
      <c r="P128"/>
      <c r="Q128"/>
    </row>
    <row r="129" spans="1:19" s="183" customFormat="1" x14ac:dyDescent="0.25">
      <c r="A129" s="316"/>
      <c r="B129" s="190"/>
      <c r="C129" s="190"/>
      <c r="D129" s="190"/>
      <c r="E129" s="190"/>
      <c r="F129" s="190"/>
      <c r="G129" s="190"/>
      <c r="H129" s="190"/>
      <c r="I129" s="190"/>
      <c r="J129" s="190"/>
      <c r="K129" s="190"/>
      <c r="L129" s="190"/>
      <c r="M129" s="190"/>
      <c r="N129" s="190"/>
      <c r="O129" s="190"/>
      <c r="P129" s="190"/>
      <c r="Q129" s="190"/>
      <c r="R129" s="190"/>
    </row>
    <row r="130" spans="1:19" s="190" customFormat="1" ht="23.25" x14ac:dyDescent="0.35">
      <c r="A130" s="150"/>
      <c r="B130" s="148" t="s">
        <v>526</v>
      </c>
      <c r="C130" s="148"/>
      <c r="D130" s="149"/>
      <c r="E130" s="149"/>
      <c r="F130" s="149"/>
      <c r="G130" s="149"/>
      <c r="H130" s="149"/>
      <c r="I130" s="149"/>
      <c r="J130" s="149"/>
      <c r="K130" s="149"/>
      <c r="L130" s="149"/>
      <c r="M130" s="149"/>
      <c r="N130" s="149"/>
      <c r="O130" s="149"/>
      <c r="P130" s="149"/>
      <c r="Q130" s="150"/>
      <c r="R130" s="150"/>
    </row>
    <row r="131" spans="1:19" ht="19.5" x14ac:dyDescent="0.3">
      <c r="A131" s="316" t="s">
        <v>537</v>
      </c>
      <c r="B131" s="317"/>
      <c r="C131" s="317"/>
      <c r="D131" s="317"/>
      <c r="E131" s="317"/>
      <c r="F131" s="317"/>
      <c r="G131" s="164"/>
      <c r="H131" s="164"/>
      <c r="I131" s="164"/>
      <c r="J131" s="164"/>
      <c r="K131" s="165"/>
      <c r="L131" s="165"/>
      <c r="M131" s="165"/>
      <c r="N131" s="165"/>
      <c r="O131" s="165"/>
      <c r="P131" s="165"/>
      <c r="Q131" s="165"/>
      <c r="S131" s="150"/>
    </row>
    <row r="132" spans="1:19" x14ac:dyDescent="0.25">
      <c r="A132" s="316"/>
      <c r="B132" s="131" t="s">
        <v>225</v>
      </c>
      <c r="C132" s="143" t="s">
        <v>436</v>
      </c>
      <c r="D132" s="157">
        <v>4</v>
      </c>
      <c r="E132" s="131"/>
      <c r="F132" s="131"/>
      <c r="G132" s="132"/>
      <c r="H132" s="132"/>
      <c r="I132" s="132"/>
      <c r="J132" s="132"/>
      <c r="K132" s="142"/>
      <c r="L132" s="142"/>
      <c r="M132" s="142"/>
      <c r="N132" s="142"/>
      <c r="O132" s="142"/>
      <c r="P132" s="142"/>
      <c r="Q132" s="142"/>
    </row>
    <row r="133" spans="1:19" x14ac:dyDescent="0.25">
      <c r="A133" s="316"/>
      <c r="B133" s="143"/>
      <c r="C133" s="143"/>
      <c r="D133" s="131"/>
      <c r="E133" s="131"/>
      <c r="F133" s="131"/>
      <c r="G133" s="144" t="s">
        <v>236</v>
      </c>
      <c r="H133" s="154">
        <f>D132</f>
        <v>4</v>
      </c>
      <c r="I133" s="144" t="s">
        <v>374</v>
      </c>
      <c r="J133" s="132"/>
      <c r="K133" s="142"/>
      <c r="L133" s="142"/>
      <c r="M133" s="142"/>
      <c r="N133" s="142"/>
      <c r="O133" s="142"/>
      <c r="P133" s="142"/>
      <c r="Q133" s="142"/>
    </row>
    <row r="134" spans="1:19" x14ac:dyDescent="0.25">
      <c r="A134" s="316"/>
      <c r="B134" s="131" t="s">
        <v>222</v>
      </c>
      <c r="C134" s="143" t="s">
        <v>436</v>
      </c>
      <c r="D134" s="157" t="s">
        <v>212</v>
      </c>
      <c r="E134" s="131"/>
      <c r="F134" s="131"/>
      <c r="G134" s="144" t="s">
        <v>371</v>
      </c>
      <c r="H134" s="136">
        <v>4</v>
      </c>
      <c r="I134" s="132"/>
      <c r="J134" s="132"/>
      <c r="K134" s="142"/>
      <c r="L134" s="142"/>
      <c r="M134" s="142"/>
      <c r="N134" s="142"/>
      <c r="O134" s="142"/>
      <c r="P134" s="142"/>
      <c r="Q134" s="142"/>
    </row>
    <row r="135" spans="1:19" x14ac:dyDescent="0.25">
      <c r="A135" s="316"/>
      <c r="B135" s="131"/>
      <c r="C135" s="131"/>
      <c r="D135" s="131"/>
      <c r="E135" s="131"/>
      <c r="F135" s="131"/>
      <c r="G135" s="144" t="s">
        <v>415</v>
      </c>
      <c r="H135" s="118">
        <f>IF(D134="Medel",9000,IF(D134="liten",2000,IF(D134="stor",30000,IF(D134="Okänd cisterntyp",9000))))</f>
        <v>30000</v>
      </c>
      <c r="I135" s="144" t="s">
        <v>417</v>
      </c>
      <c r="J135" s="160"/>
      <c r="K135" s="142"/>
      <c r="L135" s="142"/>
      <c r="M135" s="142"/>
      <c r="N135" s="142"/>
      <c r="O135" s="142"/>
      <c r="P135" s="142"/>
      <c r="Q135" s="142"/>
    </row>
    <row r="136" spans="1:19" x14ac:dyDescent="0.25">
      <c r="A136" s="316"/>
      <c r="B136" s="131" t="s">
        <v>224</v>
      </c>
      <c r="C136" s="143" t="s">
        <v>436</v>
      </c>
      <c r="D136" s="157" t="s">
        <v>183</v>
      </c>
      <c r="E136" s="131"/>
      <c r="F136" s="131"/>
      <c r="G136" s="144" t="s">
        <v>224</v>
      </c>
      <c r="H136" s="136" t="str">
        <f>D136</f>
        <v>Okänd</v>
      </c>
      <c r="I136" s="132"/>
      <c r="J136" s="132"/>
      <c r="K136" s="142"/>
      <c r="L136" s="142"/>
      <c r="M136" s="142" t="s">
        <v>372</v>
      </c>
      <c r="N136" s="101">
        <f>IF(D134="Medel",VLOOKUP(D136,Indata!$B$74:$C$78,2,FALSE),IF(D134="liten",VLOOKUP(D136,Indata!$B$80:$C$84,2,FALSE),IF(D134="stor",VLOOKUP(D136,Indata!$B$86:$C$90,2,FALSE),IF(D134="Okänd cisterntyp",VLOOKUP(D136,Indata!$B$74:$C$78,2,FALSE)))))</f>
        <v>3.3757093278016827E-2</v>
      </c>
      <c r="O136" s="142" t="s">
        <v>373</v>
      </c>
      <c r="P136" s="142"/>
      <c r="Q136" s="142"/>
    </row>
    <row r="137" spans="1:19" ht="18" x14ac:dyDescent="0.35">
      <c r="A137" s="316"/>
      <c r="B137" s="131"/>
      <c r="C137" s="131"/>
      <c r="D137" s="131"/>
      <c r="E137" s="131"/>
      <c r="F137" s="131"/>
      <c r="G137" s="132"/>
      <c r="H137" s="132"/>
      <c r="I137" s="132"/>
      <c r="J137" s="132"/>
      <c r="K137" s="142"/>
      <c r="L137" s="142"/>
      <c r="M137" s="142" t="s">
        <v>284</v>
      </c>
      <c r="N137" s="101">
        <f>IF(D132="Okänd",4*N136,N136*D132)</f>
        <v>0.13502837311206731</v>
      </c>
      <c r="O137" s="142" t="s">
        <v>197</v>
      </c>
      <c r="P137" s="142" t="str">
        <f>IF(N137&lt;0.1,"Emissionerna understiger 0.1 g CO2eq/MJ","")</f>
        <v/>
      </c>
      <c r="Q137" s="142"/>
    </row>
    <row r="138" spans="1:19" ht="18.75" customHeight="1" x14ac:dyDescent="0.25">
      <c r="A138" s="316"/>
    </row>
    <row r="139" spans="1:19" s="287" customFormat="1" ht="18.75" customHeight="1" x14ac:dyDescent="0.25">
      <c r="A139" s="216"/>
    </row>
    <row r="140" spans="1:19" s="287" customFormat="1" ht="23.25" x14ac:dyDescent="0.35">
      <c r="A140" s="286"/>
      <c r="B140" s="148" t="s">
        <v>527</v>
      </c>
      <c r="C140" s="148"/>
      <c r="D140" s="239"/>
      <c r="E140" s="149"/>
      <c r="F140" s="149"/>
      <c r="H140" s="149"/>
      <c r="I140" s="149"/>
      <c r="J140" s="149"/>
      <c r="K140" s="149"/>
      <c r="L140" s="149"/>
      <c r="M140" s="149"/>
      <c r="N140" s="149"/>
      <c r="O140" s="149"/>
      <c r="P140" s="149"/>
      <c r="Q140" s="286"/>
      <c r="R140" s="286"/>
    </row>
    <row r="141" spans="1:19" s="287" customFormat="1" ht="19.5" customHeight="1" x14ac:dyDescent="0.3">
      <c r="A141" s="316" t="s">
        <v>538</v>
      </c>
      <c r="B141" s="181"/>
      <c r="C141" s="181"/>
      <c r="D141" s="181"/>
      <c r="E141" s="181"/>
      <c r="F141" s="181"/>
      <c r="G141" s="132"/>
      <c r="H141" s="132"/>
      <c r="I141" s="132"/>
      <c r="J141" s="132"/>
      <c r="K141" s="142"/>
      <c r="L141" s="142"/>
      <c r="M141" s="142"/>
      <c r="N141" s="142"/>
      <c r="O141" s="142"/>
      <c r="P141" s="142"/>
      <c r="Q141" s="142"/>
      <c r="S141" s="286"/>
    </row>
    <row r="142" spans="1:19" s="287" customFormat="1" ht="19.5" x14ac:dyDescent="0.3">
      <c r="A142" s="316"/>
      <c r="B142" s="131" t="s">
        <v>245</v>
      </c>
      <c r="C142" s="143" t="s">
        <v>436</v>
      </c>
      <c r="D142" s="157" t="s">
        <v>248</v>
      </c>
      <c r="E142" s="181"/>
      <c r="F142" s="181"/>
      <c r="G142" s="144" t="s">
        <v>278</v>
      </c>
      <c r="H142" s="118">
        <f>IF(D142="Eget värde","0.145",VLOOKUP(D142,Indata!A$5:Z$96,11,FALSE))</f>
        <v>0.14499999999999999</v>
      </c>
      <c r="I142" s="144" t="s">
        <v>13</v>
      </c>
      <c r="J142" s="132"/>
      <c r="K142" s="142"/>
      <c r="L142" s="142"/>
      <c r="M142" s="145" t="s">
        <v>295</v>
      </c>
      <c r="N142" s="70">
        <f>H143*H142*VLOOKUP(D143,Indata!$1:$1048576,4,FALSE)</f>
        <v>36023029.759999998</v>
      </c>
      <c r="O142" s="145" t="s">
        <v>8</v>
      </c>
      <c r="P142" s="142"/>
      <c r="Q142" s="142"/>
    </row>
    <row r="143" spans="1:19" s="287" customFormat="1" ht="19.5" x14ac:dyDescent="0.3">
      <c r="A143" s="316"/>
      <c r="B143" s="146" t="s">
        <v>296</v>
      </c>
      <c r="C143" s="143" t="s">
        <v>436</v>
      </c>
      <c r="D143" s="304" t="s">
        <v>298</v>
      </c>
      <c r="E143" s="181"/>
      <c r="F143" s="181"/>
      <c r="G143" s="144" t="s">
        <v>294</v>
      </c>
      <c r="H143" s="70">
        <f>IF(D142="Eget avstånd",C145,IF(D144="Omlastning (Rotterdam)",(VLOOKUP(D142,Indata!$A$5:$U$108,21,FALSE)), (VLOOKUP(D142,Indata!$A$5:$U$108,21,FALSE)+Indata!$U$70)))</f>
        <v>6065.3</v>
      </c>
      <c r="I143" s="144" t="s">
        <v>7</v>
      </c>
      <c r="J143" s="132"/>
      <c r="K143" s="142"/>
      <c r="L143" s="142"/>
      <c r="M143" s="145" t="s">
        <v>304</v>
      </c>
      <c r="N143" s="70">
        <f>N142*VLOOKUP(D143,Indata!$A$5:$W$99,3,FALSE)</f>
        <v>3175362610.5297875</v>
      </c>
      <c r="O143" s="145" t="s">
        <v>128</v>
      </c>
      <c r="P143" s="142"/>
      <c r="Q143" s="142"/>
    </row>
    <row r="144" spans="1:19" s="287" customFormat="1" ht="30.75" x14ac:dyDescent="0.3">
      <c r="A144" s="316"/>
      <c r="B144" s="182" t="s">
        <v>520</v>
      </c>
      <c r="C144" s="143" t="s">
        <v>436</v>
      </c>
      <c r="D144" s="332" t="s">
        <v>308</v>
      </c>
      <c r="E144" s="333"/>
      <c r="F144" s="181"/>
      <c r="G144" s="144" t="s">
        <v>310</v>
      </c>
      <c r="H144" s="334" t="str">
        <f>D144</f>
        <v>Omlastning (Rotterdam)</v>
      </c>
      <c r="I144" s="335"/>
      <c r="J144" s="132"/>
      <c r="K144" s="142"/>
      <c r="L144" s="142"/>
      <c r="M144" s="145" t="s">
        <v>305</v>
      </c>
      <c r="N144" s="101">
        <f>N143/(VLOOKUP(D142,Indata!$A$5:$V$96,8,FALSE)*VLOOKUP(D142,Indata!$A$5:$V$96,7,FALSE)*H143)</f>
        <v>8.6533778057888355</v>
      </c>
      <c r="O144" s="145" t="s">
        <v>14</v>
      </c>
      <c r="P144" s="142"/>
      <c r="Q144" s="142"/>
    </row>
    <row r="145" spans="1:1021 1029:2045 2053:3069 3077:4093 4101:5117 5125:6141 6149:7165 7173:8189 8197:9213 9221:10237 10245:11261 11269:12285 12293:13309 13317:14333 14341:15357 15365:16381" s="287" customFormat="1" ht="19.5" x14ac:dyDescent="0.3">
      <c r="A145" s="316"/>
      <c r="B145" s="153" t="str">
        <f>IF(D142="Eget avstånd","Ange transportavstånd till Sverige:","")</f>
        <v/>
      </c>
      <c r="C145" s="320">
        <v>4000</v>
      </c>
      <c r="D145" s="320"/>
      <c r="E145" s="181"/>
      <c r="F145" s="181"/>
      <c r="G145" s="132"/>
      <c r="H145" s="132"/>
      <c r="I145" s="132"/>
      <c r="J145" s="132"/>
      <c r="K145" s="142"/>
      <c r="L145" s="142"/>
      <c r="M145" s="142"/>
      <c r="N145" s="142"/>
      <c r="O145" s="142"/>
      <c r="P145" s="142"/>
      <c r="Q145" s="142"/>
    </row>
    <row r="146" spans="1:1021 1029:2045 2053:3069 3077:4093 4101:5117 5125:6141 6149:7165 7173:8189 8197:9213 9221:10237 10245:11261 11269:12285 12293:13309 13317:14333 14341:15357 15365:16381" s="287" customFormat="1" ht="19.5" x14ac:dyDescent="0.3">
      <c r="A146" s="316"/>
      <c r="B146" s="131"/>
      <c r="C146" s="131"/>
      <c r="D146" s="131"/>
      <c r="E146" s="181"/>
      <c r="F146" s="181"/>
      <c r="G146" s="132"/>
      <c r="H146" s="132"/>
      <c r="I146" s="132"/>
      <c r="J146" s="132"/>
      <c r="K146" s="142"/>
      <c r="L146" s="142"/>
      <c r="M146" s="145" t="str">
        <f>IF(D144="Omlastning (Rotterdam)","g CO2eq/MJ tallbeckolja till Rotterdam:", "g CO2eq/MJ tallbeckolja till Sverige")</f>
        <v>g CO2eq/MJ tallbeckolja till Rotterdam:</v>
      </c>
      <c r="N146" s="101">
        <f>IF($D$23="Eget värmevärde",N144*H143/$G$23,N144*H143/VLOOKUP($D$23,Indata!$1:$1048576,4,FALSE))</f>
        <v>1.3811929580381848</v>
      </c>
      <c r="O146" s="142"/>
      <c r="P146" s="142"/>
      <c r="Q146" s="142"/>
      <c r="U146" s="315"/>
      <c r="AC146" s="315"/>
      <c r="AK146" s="315"/>
      <c r="AS146" s="315"/>
      <c r="BA146" s="315"/>
      <c r="BI146" s="315"/>
      <c r="BQ146" s="315"/>
      <c r="BY146" s="315"/>
      <c r="CG146" s="315"/>
      <c r="CO146" s="315"/>
      <c r="CW146" s="315"/>
      <c r="DE146" s="315"/>
      <c r="DM146" s="315"/>
      <c r="DU146" s="315"/>
      <c r="EC146" s="315"/>
      <c r="EK146" s="315"/>
      <c r="ES146" s="315"/>
      <c r="FA146" s="315"/>
      <c r="FI146" s="315"/>
      <c r="FQ146" s="315"/>
      <c r="FY146" s="315"/>
      <c r="GG146" s="315"/>
      <c r="GO146" s="315"/>
      <c r="GW146" s="315"/>
      <c r="HE146" s="315"/>
      <c r="HM146" s="315"/>
      <c r="HU146" s="315"/>
      <c r="IC146" s="315"/>
      <c r="IK146" s="315"/>
      <c r="IS146" s="315"/>
      <c r="JA146" s="315"/>
      <c r="JI146" s="315"/>
      <c r="JQ146" s="315"/>
      <c r="JY146" s="315"/>
      <c r="KG146" s="315"/>
      <c r="KO146" s="315"/>
      <c r="KW146" s="315"/>
      <c r="LE146" s="315"/>
      <c r="LM146" s="315"/>
      <c r="LU146" s="315"/>
      <c r="MC146" s="315"/>
      <c r="MK146" s="315"/>
      <c r="MS146" s="315"/>
      <c r="NA146" s="315"/>
      <c r="NI146" s="315"/>
      <c r="NQ146" s="315"/>
      <c r="NY146" s="315"/>
      <c r="OG146" s="315"/>
      <c r="OO146" s="315"/>
      <c r="OW146" s="315"/>
      <c r="PE146" s="315"/>
      <c r="PM146" s="315"/>
      <c r="PU146" s="315"/>
      <c r="QC146" s="315"/>
      <c r="QK146" s="315"/>
      <c r="QS146" s="315"/>
      <c r="RA146" s="315"/>
      <c r="RI146" s="315"/>
      <c r="RQ146" s="315"/>
      <c r="RY146" s="315"/>
      <c r="SG146" s="315"/>
      <c r="SO146" s="315"/>
      <c r="SW146" s="315"/>
      <c r="TE146" s="315"/>
      <c r="TM146" s="315"/>
      <c r="TU146" s="315"/>
      <c r="UC146" s="315"/>
      <c r="UK146" s="315"/>
      <c r="US146" s="315"/>
      <c r="VA146" s="315"/>
      <c r="VI146" s="315"/>
      <c r="VQ146" s="315"/>
      <c r="VY146" s="315"/>
      <c r="WG146" s="315"/>
      <c r="WO146" s="315"/>
      <c r="WW146" s="315"/>
      <c r="XE146" s="315"/>
      <c r="XM146" s="315"/>
      <c r="XU146" s="315"/>
      <c r="YC146" s="315"/>
      <c r="YK146" s="315"/>
      <c r="YS146" s="315"/>
      <c r="ZA146" s="315"/>
      <c r="ZI146" s="315"/>
      <c r="ZQ146" s="315"/>
      <c r="ZY146" s="315"/>
      <c r="AAG146" s="315"/>
      <c r="AAO146" s="315"/>
      <c r="AAW146" s="315"/>
      <c r="ABE146" s="315"/>
      <c r="ABM146" s="315"/>
      <c r="ABU146" s="315"/>
      <c r="ACC146" s="315"/>
      <c r="ACK146" s="315"/>
      <c r="ACS146" s="315"/>
      <c r="ADA146" s="315"/>
      <c r="ADI146" s="315"/>
      <c r="ADQ146" s="315"/>
      <c r="ADY146" s="315"/>
      <c r="AEG146" s="315"/>
      <c r="AEO146" s="315"/>
      <c r="AEW146" s="315"/>
      <c r="AFE146" s="315"/>
      <c r="AFM146" s="315"/>
      <c r="AFU146" s="315"/>
      <c r="AGC146" s="315"/>
      <c r="AGK146" s="315"/>
      <c r="AGS146" s="315"/>
      <c r="AHA146" s="315"/>
      <c r="AHI146" s="315"/>
      <c r="AHQ146" s="315"/>
      <c r="AHY146" s="315"/>
      <c r="AIG146" s="315"/>
      <c r="AIO146" s="315"/>
      <c r="AIW146" s="315"/>
      <c r="AJE146" s="315"/>
      <c r="AJM146" s="315"/>
      <c r="AJU146" s="315"/>
      <c r="AKC146" s="315"/>
      <c r="AKK146" s="315"/>
      <c r="AKS146" s="315"/>
      <c r="ALA146" s="315"/>
      <c r="ALI146" s="315"/>
      <c r="ALQ146" s="315"/>
      <c r="ALY146" s="315"/>
      <c r="AMG146" s="315"/>
      <c r="AMO146" s="315"/>
      <c r="AMW146" s="315"/>
      <c r="ANE146" s="315"/>
      <c r="ANM146" s="315"/>
      <c r="ANU146" s="315"/>
      <c r="AOC146" s="315"/>
      <c r="AOK146" s="315"/>
      <c r="AOS146" s="315"/>
      <c r="APA146" s="315"/>
      <c r="API146" s="315"/>
      <c r="APQ146" s="315"/>
      <c r="APY146" s="315"/>
      <c r="AQG146" s="315"/>
      <c r="AQO146" s="315"/>
      <c r="AQW146" s="315"/>
      <c r="ARE146" s="315"/>
      <c r="ARM146" s="315"/>
      <c r="ARU146" s="315"/>
      <c r="ASC146" s="315"/>
      <c r="ASK146" s="315"/>
      <c r="ASS146" s="315"/>
      <c r="ATA146" s="315"/>
      <c r="ATI146" s="315"/>
      <c r="ATQ146" s="315"/>
      <c r="ATY146" s="315"/>
      <c r="AUG146" s="315"/>
      <c r="AUO146" s="315"/>
      <c r="AUW146" s="315"/>
      <c r="AVE146" s="315"/>
      <c r="AVM146" s="315"/>
      <c r="AVU146" s="315"/>
      <c r="AWC146" s="315"/>
      <c r="AWK146" s="315"/>
      <c r="AWS146" s="315"/>
      <c r="AXA146" s="315"/>
      <c r="AXI146" s="315"/>
      <c r="AXQ146" s="315"/>
      <c r="AXY146" s="315"/>
      <c r="AYG146" s="315"/>
      <c r="AYO146" s="315"/>
      <c r="AYW146" s="315"/>
      <c r="AZE146" s="315"/>
      <c r="AZM146" s="315"/>
      <c r="AZU146" s="315"/>
      <c r="BAC146" s="315"/>
      <c r="BAK146" s="315"/>
      <c r="BAS146" s="315"/>
      <c r="BBA146" s="315"/>
      <c r="BBI146" s="315"/>
      <c r="BBQ146" s="315"/>
      <c r="BBY146" s="315"/>
      <c r="BCG146" s="315"/>
      <c r="BCO146" s="315"/>
      <c r="BCW146" s="315"/>
      <c r="BDE146" s="315"/>
      <c r="BDM146" s="315"/>
      <c r="BDU146" s="315"/>
      <c r="BEC146" s="315"/>
      <c r="BEK146" s="315"/>
      <c r="BES146" s="315"/>
      <c r="BFA146" s="315"/>
      <c r="BFI146" s="315"/>
      <c r="BFQ146" s="315"/>
      <c r="BFY146" s="315"/>
      <c r="BGG146" s="315"/>
      <c r="BGO146" s="315"/>
      <c r="BGW146" s="315"/>
      <c r="BHE146" s="315"/>
      <c r="BHM146" s="315"/>
      <c r="BHU146" s="315"/>
      <c r="BIC146" s="315"/>
      <c r="BIK146" s="315"/>
      <c r="BIS146" s="315"/>
      <c r="BJA146" s="315"/>
      <c r="BJI146" s="315"/>
      <c r="BJQ146" s="315"/>
      <c r="BJY146" s="315"/>
      <c r="BKG146" s="315"/>
      <c r="BKO146" s="315"/>
      <c r="BKW146" s="315"/>
      <c r="BLE146" s="315"/>
      <c r="BLM146" s="315"/>
      <c r="BLU146" s="315"/>
      <c r="BMC146" s="315"/>
      <c r="BMK146" s="315"/>
      <c r="BMS146" s="315"/>
      <c r="BNA146" s="315"/>
      <c r="BNI146" s="315"/>
      <c r="BNQ146" s="315"/>
      <c r="BNY146" s="315"/>
      <c r="BOG146" s="315"/>
      <c r="BOO146" s="315"/>
      <c r="BOW146" s="315"/>
      <c r="BPE146" s="315"/>
      <c r="BPM146" s="315"/>
      <c r="BPU146" s="315"/>
      <c r="BQC146" s="315"/>
      <c r="BQK146" s="315"/>
      <c r="BQS146" s="315"/>
      <c r="BRA146" s="315"/>
      <c r="BRI146" s="315"/>
      <c r="BRQ146" s="315"/>
      <c r="BRY146" s="315"/>
      <c r="BSG146" s="315"/>
      <c r="BSO146" s="315"/>
      <c r="BSW146" s="315"/>
      <c r="BTE146" s="315"/>
      <c r="BTM146" s="315"/>
      <c r="BTU146" s="315"/>
      <c r="BUC146" s="315"/>
      <c r="BUK146" s="315"/>
      <c r="BUS146" s="315"/>
      <c r="BVA146" s="315"/>
      <c r="BVI146" s="315"/>
      <c r="BVQ146" s="315"/>
      <c r="BVY146" s="315"/>
      <c r="BWG146" s="315"/>
      <c r="BWO146" s="315"/>
      <c r="BWW146" s="315"/>
      <c r="BXE146" s="315"/>
      <c r="BXM146" s="315"/>
      <c r="BXU146" s="315"/>
      <c r="BYC146" s="315"/>
      <c r="BYK146" s="315"/>
      <c r="BYS146" s="315"/>
      <c r="BZA146" s="315"/>
      <c r="BZI146" s="315"/>
      <c r="BZQ146" s="315"/>
      <c r="BZY146" s="315"/>
      <c r="CAG146" s="315"/>
      <c r="CAO146" s="315"/>
      <c r="CAW146" s="315"/>
      <c r="CBE146" s="315"/>
      <c r="CBM146" s="315"/>
      <c r="CBU146" s="315"/>
      <c r="CCC146" s="315"/>
      <c r="CCK146" s="315"/>
      <c r="CCS146" s="315"/>
      <c r="CDA146" s="315"/>
      <c r="CDI146" s="315"/>
      <c r="CDQ146" s="315"/>
      <c r="CDY146" s="315"/>
      <c r="CEG146" s="315"/>
      <c r="CEO146" s="315"/>
      <c r="CEW146" s="315"/>
      <c r="CFE146" s="315"/>
      <c r="CFM146" s="315"/>
      <c r="CFU146" s="315"/>
      <c r="CGC146" s="315"/>
      <c r="CGK146" s="315"/>
      <c r="CGS146" s="315"/>
      <c r="CHA146" s="315"/>
      <c r="CHI146" s="315"/>
      <c r="CHQ146" s="315"/>
      <c r="CHY146" s="315"/>
      <c r="CIG146" s="315"/>
      <c r="CIO146" s="315"/>
      <c r="CIW146" s="315"/>
      <c r="CJE146" s="315"/>
      <c r="CJM146" s="315"/>
      <c r="CJU146" s="315"/>
      <c r="CKC146" s="315"/>
      <c r="CKK146" s="315"/>
      <c r="CKS146" s="315"/>
      <c r="CLA146" s="315"/>
      <c r="CLI146" s="315"/>
      <c r="CLQ146" s="315"/>
      <c r="CLY146" s="315"/>
      <c r="CMG146" s="315"/>
      <c r="CMO146" s="315"/>
      <c r="CMW146" s="315"/>
      <c r="CNE146" s="315"/>
      <c r="CNM146" s="315"/>
      <c r="CNU146" s="315"/>
      <c r="COC146" s="315"/>
      <c r="COK146" s="315"/>
      <c r="COS146" s="315"/>
      <c r="CPA146" s="315"/>
      <c r="CPI146" s="315"/>
      <c r="CPQ146" s="315"/>
      <c r="CPY146" s="315"/>
      <c r="CQG146" s="315"/>
      <c r="CQO146" s="315"/>
      <c r="CQW146" s="315"/>
      <c r="CRE146" s="315"/>
      <c r="CRM146" s="315"/>
      <c r="CRU146" s="315"/>
      <c r="CSC146" s="315"/>
      <c r="CSK146" s="315"/>
      <c r="CSS146" s="315"/>
      <c r="CTA146" s="315"/>
      <c r="CTI146" s="315"/>
      <c r="CTQ146" s="315"/>
      <c r="CTY146" s="315"/>
      <c r="CUG146" s="315"/>
      <c r="CUO146" s="315"/>
      <c r="CUW146" s="315"/>
      <c r="CVE146" s="315"/>
      <c r="CVM146" s="315"/>
      <c r="CVU146" s="315"/>
      <c r="CWC146" s="315"/>
      <c r="CWK146" s="315"/>
      <c r="CWS146" s="315"/>
      <c r="CXA146" s="315"/>
      <c r="CXI146" s="315"/>
      <c r="CXQ146" s="315"/>
      <c r="CXY146" s="315"/>
      <c r="CYG146" s="315"/>
      <c r="CYO146" s="315"/>
      <c r="CYW146" s="315"/>
      <c r="CZE146" s="315"/>
      <c r="CZM146" s="315"/>
      <c r="CZU146" s="315"/>
      <c r="DAC146" s="315"/>
      <c r="DAK146" s="315"/>
      <c r="DAS146" s="315"/>
      <c r="DBA146" s="315"/>
      <c r="DBI146" s="315"/>
      <c r="DBQ146" s="315"/>
      <c r="DBY146" s="315"/>
      <c r="DCG146" s="315"/>
      <c r="DCO146" s="315"/>
      <c r="DCW146" s="315"/>
      <c r="DDE146" s="315"/>
      <c r="DDM146" s="315"/>
      <c r="DDU146" s="315"/>
      <c r="DEC146" s="315"/>
      <c r="DEK146" s="315"/>
      <c r="DES146" s="315"/>
      <c r="DFA146" s="315"/>
      <c r="DFI146" s="315"/>
      <c r="DFQ146" s="315"/>
      <c r="DFY146" s="315"/>
      <c r="DGG146" s="315"/>
      <c r="DGO146" s="315"/>
      <c r="DGW146" s="315"/>
      <c r="DHE146" s="315"/>
      <c r="DHM146" s="315"/>
      <c r="DHU146" s="315"/>
      <c r="DIC146" s="315"/>
      <c r="DIK146" s="315"/>
      <c r="DIS146" s="315"/>
      <c r="DJA146" s="315"/>
      <c r="DJI146" s="315"/>
      <c r="DJQ146" s="315"/>
      <c r="DJY146" s="315"/>
      <c r="DKG146" s="315"/>
      <c r="DKO146" s="315"/>
      <c r="DKW146" s="315"/>
      <c r="DLE146" s="315"/>
      <c r="DLM146" s="315"/>
      <c r="DLU146" s="315"/>
      <c r="DMC146" s="315"/>
      <c r="DMK146" s="315"/>
      <c r="DMS146" s="315"/>
      <c r="DNA146" s="315"/>
      <c r="DNI146" s="315"/>
      <c r="DNQ146" s="315"/>
      <c r="DNY146" s="315"/>
      <c r="DOG146" s="315"/>
      <c r="DOO146" s="315"/>
      <c r="DOW146" s="315"/>
      <c r="DPE146" s="315"/>
      <c r="DPM146" s="315"/>
      <c r="DPU146" s="315"/>
      <c r="DQC146" s="315"/>
      <c r="DQK146" s="315"/>
      <c r="DQS146" s="315"/>
      <c r="DRA146" s="315"/>
      <c r="DRI146" s="315"/>
      <c r="DRQ146" s="315"/>
      <c r="DRY146" s="315"/>
      <c r="DSG146" s="315"/>
      <c r="DSO146" s="315"/>
      <c r="DSW146" s="315"/>
      <c r="DTE146" s="315"/>
      <c r="DTM146" s="315"/>
      <c r="DTU146" s="315"/>
      <c r="DUC146" s="315"/>
      <c r="DUK146" s="315"/>
      <c r="DUS146" s="315"/>
      <c r="DVA146" s="315"/>
      <c r="DVI146" s="315"/>
      <c r="DVQ146" s="315"/>
      <c r="DVY146" s="315"/>
      <c r="DWG146" s="315"/>
      <c r="DWO146" s="315"/>
      <c r="DWW146" s="315"/>
      <c r="DXE146" s="315"/>
      <c r="DXM146" s="315"/>
      <c r="DXU146" s="315"/>
      <c r="DYC146" s="315"/>
      <c r="DYK146" s="315"/>
      <c r="DYS146" s="315"/>
      <c r="DZA146" s="315"/>
      <c r="DZI146" s="315"/>
      <c r="DZQ146" s="315"/>
      <c r="DZY146" s="315"/>
      <c r="EAG146" s="315"/>
      <c r="EAO146" s="315"/>
      <c r="EAW146" s="315"/>
      <c r="EBE146" s="315"/>
      <c r="EBM146" s="315"/>
      <c r="EBU146" s="315"/>
      <c r="ECC146" s="315"/>
      <c r="ECK146" s="315"/>
      <c r="ECS146" s="315"/>
      <c r="EDA146" s="315"/>
      <c r="EDI146" s="315"/>
      <c r="EDQ146" s="315"/>
      <c r="EDY146" s="315"/>
      <c r="EEG146" s="315"/>
      <c r="EEO146" s="315"/>
      <c r="EEW146" s="315"/>
      <c r="EFE146" s="315"/>
      <c r="EFM146" s="315"/>
      <c r="EFU146" s="315"/>
      <c r="EGC146" s="315"/>
      <c r="EGK146" s="315"/>
      <c r="EGS146" s="315"/>
      <c r="EHA146" s="315"/>
      <c r="EHI146" s="315"/>
      <c r="EHQ146" s="315"/>
      <c r="EHY146" s="315"/>
      <c r="EIG146" s="315"/>
      <c r="EIO146" s="315"/>
      <c r="EIW146" s="315"/>
      <c r="EJE146" s="315"/>
      <c r="EJM146" s="315"/>
      <c r="EJU146" s="315"/>
      <c r="EKC146" s="315"/>
      <c r="EKK146" s="315"/>
      <c r="EKS146" s="315"/>
      <c r="ELA146" s="315"/>
      <c r="ELI146" s="315"/>
      <c r="ELQ146" s="315"/>
      <c r="ELY146" s="315"/>
      <c r="EMG146" s="315"/>
      <c r="EMO146" s="315"/>
      <c r="EMW146" s="315"/>
      <c r="ENE146" s="315"/>
      <c r="ENM146" s="315"/>
      <c r="ENU146" s="315"/>
      <c r="EOC146" s="315"/>
      <c r="EOK146" s="315"/>
      <c r="EOS146" s="315"/>
      <c r="EPA146" s="315"/>
      <c r="EPI146" s="315"/>
      <c r="EPQ146" s="315"/>
      <c r="EPY146" s="315"/>
      <c r="EQG146" s="315"/>
      <c r="EQO146" s="315"/>
      <c r="EQW146" s="315"/>
      <c r="ERE146" s="315"/>
      <c r="ERM146" s="315"/>
      <c r="ERU146" s="315"/>
      <c r="ESC146" s="315"/>
      <c r="ESK146" s="315"/>
      <c r="ESS146" s="315"/>
      <c r="ETA146" s="315"/>
      <c r="ETI146" s="315"/>
      <c r="ETQ146" s="315"/>
      <c r="ETY146" s="315"/>
      <c r="EUG146" s="315"/>
      <c r="EUO146" s="315"/>
      <c r="EUW146" s="315"/>
      <c r="EVE146" s="315"/>
      <c r="EVM146" s="315"/>
      <c r="EVU146" s="315"/>
      <c r="EWC146" s="315"/>
      <c r="EWK146" s="315"/>
      <c r="EWS146" s="315"/>
      <c r="EXA146" s="315"/>
      <c r="EXI146" s="315"/>
      <c r="EXQ146" s="315"/>
      <c r="EXY146" s="315"/>
      <c r="EYG146" s="315"/>
      <c r="EYO146" s="315"/>
      <c r="EYW146" s="315"/>
      <c r="EZE146" s="315"/>
      <c r="EZM146" s="315"/>
      <c r="EZU146" s="315"/>
      <c r="FAC146" s="315"/>
      <c r="FAK146" s="315"/>
      <c r="FAS146" s="315"/>
      <c r="FBA146" s="315"/>
      <c r="FBI146" s="315"/>
      <c r="FBQ146" s="315"/>
      <c r="FBY146" s="315"/>
      <c r="FCG146" s="315"/>
      <c r="FCO146" s="315"/>
      <c r="FCW146" s="315"/>
      <c r="FDE146" s="315"/>
      <c r="FDM146" s="315"/>
      <c r="FDU146" s="315"/>
      <c r="FEC146" s="315"/>
      <c r="FEK146" s="315"/>
      <c r="FES146" s="315"/>
      <c r="FFA146" s="315"/>
      <c r="FFI146" s="315"/>
      <c r="FFQ146" s="315"/>
      <c r="FFY146" s="315"/>
      <c r="FGG146" s="315"/>
      <c r="FGO146" s="315"/>
      <c r="FGW146" s="315"/>
      <c r="FHE146" s="315"/>
      <c r="FHM146" s="315"/>
      <c r="FHU146" s="315"/>
      <c r="FIC146" s="315"/>
      <c r="FIK146" s="315"/>
      <c r="FIS146" s="315"/>
      <c r="FJA146" s="315"/>
      <c r="FJI146" s="315"/>
      <c r="FJQ146" s="315"/>
      <c r="FJY146" s="315"/>
      <c r="FKG146" s="315"/>
      <c r="FKO146" s="315"/>
      <c r="FKW146" s="315"/>
      <c r="FLE146" s="315"/>
      <c r="FLM146" s="315"/>
      <c r="FLU146" s="315"/>
      <c r="FMC146" s="315"/>
      <c r="FMK146" s="315"/>
      <c r="FMS146" s="315"/>
      <c r="FNA146" s="315"/>
      <c r="FNI146" s="315"/>
      <c r="FNQ146" s="315"/>
      <c r="FNY146" s="315"/>
      <c r="FOG146" s="315"/>
      <c r="FOO146" s="315"/>
      <c r="FOW146" s="315"/>
      <c r="FPE146" s="315"/>
      <c r="FPM146" s="315"/>
      <c r="FPU146" s="315"/>
      <c r="FQC146" s="315"/>
      <c r="FQK146" s="315"/>
      <c r="FQS146" s="315"/>
      <c r="FRA146" s="315"/>
      <c r="FRI146" s="315"/>
      <c r="FRQ146" s="315"/>
      <c r="FRY146" s="315"/>
      <c r="FSG146" s="315"/>
      <c r="FSO146" s="315"/>
      <c r="FSW146" s="315"/>
      <c r="FTE146" s="315"/>
      <c r="FTM146" s="315"/>
      <c r="FTU146" s="315"/>
      <c r="FUC146" s="315"/>
      <c r="FUK146" s="315"/>
      <c r="FUS146" s="315"/>
      <c r="FVA146" s="315"/>
      <c r="FVI146" s="315"/>
      <c r="FVQ146" s="315"/>
      <c r="FVY146" s="315"/>
      <c r="FWG146" s="315"/>
      <c r="FWO146" s="315"/>
      <c r="FWW146" s="315"/>
      <c r="FXE146" s="315"/>
      <c r="FXM146" s="315"/>
      <c r="FXU146" s="315"/>
      <c r="FYC146" s="315"/>
      <c r="FYK146" s="315"/>
      <c r="FYS146" s="315"/>
      <c r="FZA146" s="315"/>
      <c r="FZI146" s="315"/>
      <c r="FZQ146" s="315"/>
      <c r="FZY146" s="315"/>
      <c r="GAG146" s="315"/>
      <c r="GAO146" s="315"/>
      <c r="GAW146" s="315"/>
      <c r="GBE146" s="315"/>
      <c r="GBM146" s="315"/>
      <c r="GBU146" s="315"/>
      <c r="GCC146" s="315"/>
      <c r="GCK146" s="315"/>
      <c r="GCS146" s="315"/>
      <c r="GDA146" s="315"/>
      <c r="GDI146" s="315"/>
      <c r="GDQ146" s="315"/>
      <c r="GDY146" s="315"/>
      <c r="GEG146" s="315"/>
      <c r="GEO146" s="315"/>
      <c r="GEW146" s="315"/>
      <c r="GFE146" s="315"/>
      <c r="GFM146" s="315"/>
      <c r="GFU146" s="315"/>
      <c r="GGC146" s="315"/>
      <c r="GGK146" s="315"/>
      <c r="GGS146" s="315"/>
      <c r="GHA146" s="315"/>
      <c r="GHI146" s="315"/>
      <c r="GHQ146" s="315"/>
      <c r="GHY146" s="315"/>
      <c r="GIG146" s="315"/>
      <c r="GIO146" s="315"/>
      <c r="GIW146" s="315"/>
      <c r="GJE146" s="315"/>
      <c r="GJM146" s="315"/>
      <c r="GJU146" s="315"/>
      <c r="GKC146" s="315"/>
      <c r="GKK146" s="315"/>
      <c r="GKS146" s="315"/>
      <c r="GLA146" s="315"/>
      <c r="GLI146" s="315"/>
      <c r="GLQ146" s="315"/>
      <c r="GLY146" s="315"/>
      <c r="GMG146" s="315"/>
      <c r="GMO146" s="315"/>
      <c r="GMW146" s="315"/>
      <c r="GNE146" s="315"/>
      <c r="GNM146" s="315"/>
      <c r="GNU146" s="315"/>
      <c r="GOC146" s="315"/>
      <c r="GOK146" s="315"/>
      <c r="GOS146" s="315"/>
      <c r="GPA146" s="315"/>
      <c r="GPI146" s="315"/>
      <c r="GPQ146" s="315"/>
      <c r="GPY146" s="315"/>
      <c r="GQG146" s="315"/>
      <c r="GQO146" s="315"/>
      <c r="GQW146" s="315"/>
      <c r="GRE146" s="315"/>
      <c r="GRM146" s="315"/>
      <c r="GRU146" s="315"/>
      <c r="GSC146" s="315"/>
      <c r="GSK146" s="315"/>
      <c r="GSS146" s="315"/>
      <c r="GTA146" s="315"/>
      <c r="GTI146" s="315"/>
      <c r="GTQ146" s="315"/>
      <c r="GTY146" s="315"/>
      <c r="GUG146" s="315"/>
      <c r="GUO146" s="315"/>
      <c r="GUW146" s="315"/>
      <c r="GVE146" s="315"/>
      <c r="GVM146" s="315"/>
      <c r="GVU146" s="315"/>
      <c r="GWC146" s="315"/>
      <c r="GWK146" s="315"/>
      <c r="GWS146" s="315"/>
      <c r="GXA146" s="315"/>
      <c r="GXI146" s="315"/>
      <c r="GXQ146" s="315"/>
      <c r="GXY146" s="315"/>
      <c r="GYG146" s="315"/>
      <c r="GYO146" s="315"/>
      <c r="GYW146" s="315"/>
      <c r="GZE146" s="315"/>
      <c r="GZM146" s="315"/>
      <c r="GZU146" s="315"/>
      <c r="HAC146" s="315"/>
      <c r="HAK146" s="315"/>
      <c r="HAS146" s="315"/>
      <c r="HBA146" s="315"/>
      <c r="HBI146" s="315"/>
      <c r="HBQ146" s="315"/>
      <c r="HBY146" s="315"/>
      <c r="HCG146" s="315"/>
      <c r="HCO146" s="315"/>
      <c r="HCW146" s="315"/>
      <c r="HDE146" s="315"/>
      <c r="HDM146" s="315"/>
      <c r="HDU146" s="315"/>
      <c r="HEC146" s="315"/>
      <c r="HEK146" s="315"/>
      <c r="HES146" s="315"/>
      <c r="HFA146" s="315"/>
      <c r="HFI146" s="315"/>
      <c r="HFQ146" s="315"/>
      <c r="HFY146" s="315"/>
      <c r="HGG146" s="315"/>
      <c r="HGO146" s="315"/>
      <c r="HGW146" s="315"/>
      <c r="HHE146" s="315"/>
      <c r="HHM146" s="315"/>
      <c r="HHU146" s="315"/>
      <c r="HIC146" s="315"/>
      <c r="HIK146" s="315"/>
      <c r="HIS146" s="315"/>
      <c r="HJA146" s="315"/>
      <c r="HJI146" s="315"/>
      <c r="HJQ146" s="315"/>
      <c r="HJY146" s="315"/>
      <c r="HKG146" s="315"/>
      <c r="HKO146" s="315"/>
      <c r="HKW146" s="315"/>
      <c r="HLE146" s="315"/>
      <c r="HLM146" s="315"/>
      <c r="HLU146" s="315"/>
      <c r="HMC146" s="315"/>
      <c r="HMK146" s="315"/>
      <c r="HMS146" s="315"/>
      <c r="HNA146" s="315"/>
      <c r="HNI146" s="315"/>
      <c r="HNQ146" s="315"/>
      <c r="HNY146" s="315"/>
      <c r="HOG146" s="315"/>
      <c r="HOO146" s="315"/>
      <c r="HOW146" s="315"/>
      <c r="HPE146" s="315"/>
      <c r="HPM146" s="315"/>
      <c r="HPU146" s="315"/>
      <c r="HQC146" s="315"/>
      <c r="HQK146" s="315"/>
      <c r="HQS146" s="315"/>
      <c r="HRA146" s="315"/>
      <c r="HRI146" s="315"/>
      <c r="HRQ146" s="315"/>
      <c r="HRY146" s="315"/>
      <c r="HSG146" s="315"/>
      <c r="HSO146" s="315"/>
      <c r="HSW146" s="315"/>
      <c r="HTE146" s="315"/>
      <c r="HTM146" s="315"/>
      <c r="HTU146" s="315"/>
      <c r="HUC146" s="315"/>
      <c r="HUK146" s="315"/>
      <c r="HUS146" s="315"/>
      <c r="HVA146" s="315"/>
      <c r="HVI146" s="315"/>
      <c r="HVQ146" s="315"/>
      <c r="HVY146" s="315"/>
      <c r="HWG146" s="315"/>
      <c r="HWO146" s="315"/>
      <c r="HWW146" s="315"/>
      <c r="HXE146" s="315"/>
      <c r="HXM146" s="315"/>
      <c r="HXU146" s="315"/>
      <c r="HYC146" s="315"/>
      <c r="HYK146" s="315"/>
      <c r="HYS146" s="315"/>
      <c r="HZA146" s="315"/>
      <c r="HZI146" s="315"/>
      <c r="HZQ146" s="315"/>
      <c r="HZY146" s="315"/>
      <c r="IAG146" s="315"/>
      <c r="IAO146" s="315"/>
      <c r="IAW146" s="315"/>
      <c r="IBE146" s="315"/>
      <c r="IBM146" s="315"/>
      <c r="IBU146" s="315"/>
      <c r="ICC146" s="315"/>
      <c r="ICK146" s="315"/>
      <c r="ICS146" s="315"/>
      <c r="IDA146" s="315"/>
      <c r="IDI146" s="315"/>
      <c r="IDQ146" s="315"/>
      <c r="IDY146" s="315"/>
      <c r="IEG146" s="315"/>
      <c r="IEO146" s="315"/>
      <c r="IEW146" s="315"/>
      <c r="IFE146" s="315"/>
      <c r="IFM146" s="315"/>
      <c r="IFU146" s="315"/>
      <c r="IGC146" s="315"/>
      <c r="IGK146" s="315"/>
      <c r="IGS146" s="315"/>
      <c r="IHA146" s="315"/>
      <c r="IHI146" s="315"/>
      <c r="IHQ146" s="315"/>
      <c r="IHY146" s="315"/>
      <c r="IIG146" s="315"/>
      <c r="IIO146" s="315"/>
      <c r="IIW146" s="315"/>
      <c r="IJE146" s="315"/>
      <c r="IJM146" s="315"/>
      <c r="IJU146" s="315"/>
      <c r="IKC146" s="315"/>
      <c r="IKK146" s="315"/>
      <c r="IKS146" s="315"/>
      <c r="ILA146" s="315"/>
      <c r="ILI146" s="315"/>
      <c r="ILQ146" s="315"/>
      <c r="ILY146" s="315"/>
      <c r="IMG146" s="315"/>
      <c r="IMO146" s="315"/>
      <c r="IMW146" s="315"/>
      <c r="INE146" s="315"/>
      <c r="INM146" s="315"/>
      <c r="INU146" s="315"/>
      <c r="IOC146" s="315"/>
      <c r="IOK146" s="315"/>
      <c r="IOS146" s="315"/>
      <c r="IPA146" s="315"/>
      <c r="IPI146" s="315"/>
      <c r="IPQ146" s="315"/>
      <c r="IPY146" s="315"/>
      <c r="IQG146" s="315"/>
      <c r="IQO146" s="315"/>
      <c r="IQW146" s="315"/>
      <c r="IRE146" s="315"/>
      <c r="IRM146" s="315"/>
      <c r="IRU146" s="315"/>
      <c r="ISC146" s="315"/>
      <c r="ISK146" s="315"/>
      <c r="ISS146" s="315"/>
      <c r="ITA146" s="315"/>
      <c r="ITI146" s="315"/>
      <c r="ITQ146" s="315"/>
      <c r="ITY146" s="315"/>
      <c r="IUG146" s="315"/>
      <c r="IUO146" s="315"/>
      <c r="IUW146" s="315"/>
      <c r="IVE146" s="315"/>
      <c r="IVM146" s="315"/>
      <c r="IVU146" s="315"/>
      <c r="IWC146" s="315"/>
      <c r="IWK146" s="315"/>
      <c r="IWS146" s="315"/>
      <c r="IXA146" s="315"/>
      <c r="IXI146" s="315"/>
      <c r="IXQ146" s="315"/>
      <c r="IXY146" s="315"/>
      <c r="IYG146" s="315"/>
      <c r="IYO146" s="315"/>
      <c r="IYW146" s="315"/>
      <c r="IZE146" s="315"/>
      <c r="IZM146" s="315"/>
      <c r="IZU146" s="315"/>
      <c r="JAC146" s="315"/>
      <c r="JAK146" s="315"/>
      <c r="JAS146" s="315"/>
      <c r="JBA146" s="315"/>
      <c r="JBI146" s="315"/>
      <c r="JBQ146" s="315"/>
      <c r="JBY146" s="315"/>
      <c r="JCG146" s="315"/>
      <c r="JCO146" s="315"/>
      <c r="JCW146" s="315"/>
      <c r="JDE146" s="315"/>
      <c r="JDM146" s="315"/>
      <c r="JDU146" s="315"/>
      <c r="JEC146" s="315"/>
      <c r="JEK146" s="315"/>
      <c r="JES146" s="315"/>
      <c r="JFA146" s="315"/>
      <c r="JFI146" s="315"/>
      <c r="JFQ146" s="315"/>
      <c r="JFY146" s="315"/>
      <c r="JGG146" s="315"/>
      <c r="JGO146" s="315"/>
      <c r="JGW146" s="315"/>
      <c r="JHE146" s="315"/>
      <c r="JHM146" s="315"/>
      <c r="JHU146" s="315"/>
      <c r="JIC146" s="315"/>
      <c r="JIK146" s="315"/>
      <c r="JIS146" s="315"/>
      <c r="JJA146" s="315"/>
      <c r="JJI146" s="315"/>
      <c r="JJQ146" s="315"/>
      <c r="JJY146" s="315"/>
      <c r="JKG146" s="315"/>
      <c r="JKO146" s="315"/>
      <c r="JKW146" s="315"/>
      <c r="JLE146" s="315"/>
      <c r="JLM146" s="315"/>
      <c r="JLU146" s="315"/>
      <c r="JMC146" s="315"/>
      <c r="JMK146" s="315"/>
      <c r="JMS146" s="315"/>
      <c r="JNA146" s="315"/>
      <c r="JNI146" s="315"/>
      <c r="JNQ146" s="315"/>
      <c r="JNY146" s="315"/>
      <c r="JOG146" s="315"/>
      <c r="JOO146" s="315"/>
      <c r="JOW146" s="315"/>
      <c r="JPE146" s="315"/>
      <c r="JPM146" s="315"/>
      <c r="JPU146" s="315"/>
      <c r="JQC146" s="315"/>
      <c r="JQK146" s="315"/>
      <c r="JQS146" s="315"/>
      <c r="JRA146" s="315"/>
      <c r="JRI146" s="315"/>
      <c r="JRQ146" s="315"/>
      <c r="JRY146" s="315"/>
      <c r="JSG146" s="315"/>
      <c r="JSO146" s="315"/>
      <c r="JSW146" s="315"/>
      <c r="JTE146" s="315"/>
      <c r="JTM146" s="315"/>
      <c r="JTU146" s="315"/>
      <c r="JUC146" s="315"/>
      <c r="JUK146" s="315"/>
      <c r="JUS146" s="315"/>
      <c r="JVA146" s="315"/>
      <c r="JVI146" s="315"/>
      <c r="JVQ146" s="315"/>
      <c r="JVY146" s="315"/>
      <c r="JWG146" s="315"/>
      <c r="JWO146" s="315"/>
      <c r="JWW146" s="315"/>
      <c r="JXE146" s="315"/>
      <c r="JXM146" s="315"/>
      <c r="JXU146" s="315"/>
      <c r="JYC146" s="315"/>
      <c r="JYK146" s="315"/>
      <c r="JYS146" s="315"/>
      <c r="JZA146" s="315"/>
      <c r="JZI146" s="315"/>
      <c r="JZQ146" s="315"/>
      <c r="JZY146" s="315"/>
      <c r="KAG146" s="315"/>
      <c r="KAO146" s="315"/>
      <c r="KAW146" s="315"/>
      <c r="KBE146" s="315"/>
      <c r="KBM146" s="315"/>
      <c r="KBU146" s="315"/>
      <c r="KCC146" s="315"/>
      <c r="KCK146" s="315"/>
      <c r="KCS146" s="315"/>
      <c r="KDA146" s="315"/>
      <c r="KDI146" s="315"/>
      <c r="KDQ146" s="315"/>
      <c r="KDY146" s="315"/>
      <c r="KEG146" s="315"/>
      <c r="KEO146" s="315"/>
      <c r="KEW146" s="315"/>
      <c r="KFE146" s="315"/>
      <c r="KFM146" s="315"/>
      <c r="KFU146" s="315"/>
      <c r="KGC146" s="315"/>
      <c r="KGK146" s="315"/>
      <c r="KGS146" s="315"/>
      <c r="KHA146" s="315"/>
      <c r="KHI146" s="315"/>
      <c r="KHQ146" s="315"/>
      <c r="KHY146" s="315"/>
      <c r="KIG146" s="315"/>
      <c r="KIO146" s="315"/>
      <c r="KIW146" s="315"/>
      <c r="KJE146" s="315"/>
      <c r="KJM146" s="315"/>
      <c r="KJU146" s="315"/>
      <c r="KKC146" s="315"/>
      <c r="KKK146" s="315"/>
      <c r="KKS146" s="315"/>
      <c r="KLA146" s="315"/>
      <c r="KLI146" s="315"/>
      <c r="KLQ146" s="315"/>
      <c r="KLY146" s="315"/>
      <c r="KMG146" s="315"/>
      <c r="KMO146" s="315"/>
      <c r="KMW146" s="315"/>
      <c r="KNE146" s="315"/>
      <c r="KNM146" s="315"/>
      <c r="KNU146" s="315"/>
      <c r="KOC146" s="315"/>
      <c r="KOK146" s="315"/>
      <c r="KOS146" s="315"/>
      <c r="KPA146" s="315"/>
      <c r="KPI146" s="315"/>
      <c r="KPQ146" s="315"/>
      <c r="KPY146" s="315"/>
      <c r="KQG146" s="315"/>
      <c r="KQO146" s="315"/>
      <c r="KQW146" s="315"/>
      <c r="KRE146" s="315"/>
      <c r="KRM146" s="315"/>
      <c r="KRU146" s="315"/>
      <c r="KSC146" s="315"/>
      <c r="KSK146" s="315"/>
      <c r="KSS146" s="315"/>
      <c r="KTA146" s="315"/>
      <c r="KTI146" s="315"/>
      <c r="KTQ146" s="315"/>
      <c r="KTY146" s="315"/>
      <c r="KUG146" s="315"/>
      <c r="KUO146" s="315"/>
      <c r="KUW146" s="315"/>
      <c r="KVE146" s="315"/>
      <c r="KVM146" s="315"/>
      <c r="KVU146" s="315"/>
      <c r="KWC146" s="315"/>
      <c r="KWK146" s="315"/>
      <c r="KWS146" s="315"/>
      <c r="KXA146" s="315"/>
      <c r="KXI146" s="315"/>
      <c r="KXQ146" s="315"/>
      <c r="KXY146" s="315"/>
      <c r="KYG146" s="315"/>
      <c r="KYO146" s="315"/>
      <c r="KYW146" s="315"/>
      <c r="KZE146" s="315"/>
      <c r="KZM146" s="315"/>
      <c r="KZU146" s="315"/>
      <c r="LAC146" s="315"/>
      <c r="LAK146" s="315"/>
      <c r="LAS146" s="315"/>
      <c r="LBA146" s="315"/>
      <c r="LBI146" s="315"/>
      <c r="LBQ146" s="315"/>
      <c r="LBY146" s="315"/>
      <c r="LCG146" s="315"/>
      <c r="LCO146" s="315"/>
      <c r="LCW146" s="315"/>
      <c r="LDE146" s="315"/>
      <c r="LDM146" s="315"/>
      <c r="LDU146" s="315"/>
      <c r="LEC146" s="315"/>
      <c r="LEK146" s="315"/>
      <c r="LES146" s="315"/>
      <c r="LFA146" s="315"/>
      <c r="LFI146" s="315"/>
      <c r="LFQ146" s="315"/>
      <c r="LFY146" s="315"/>
      <c r="LGG146" s="315"/>
      <c r="LGO146" s="315"/>
      <c r="LGW146" s="315"/>
      <c r="LHE146" s="315"/>
      <c r="LHM146" s="315"/>
      <c r="LHU146" s="315"/>
      <c r="LIC146" s="315"/>
      <c r="LIK146" s="315"/>
      <c r="LIS146" s="315"/>
      <c r="LJA146" s="315"/>
      <c r="LJI146" s="315"/>
      <c r="LJQ146" s="315"/>
      <c r="LJY146" s="315"/>
      <c r="LKG146" s="315"/>
      <c r="LKO146" s="315"/>
      <c r="LKW146" s="315"/>
      <c r="LLE146" s="315"/>
      <c r="LLM146" s="315"/>
      <c r="LLU146" s="315"/>
      <c r="LMC146" s="315"/>
      <c r="LMK146" s="315"/>
      <c r="LMS146" s="315"/>
      <c r="LNA146" s="315"/>
      <c r="LNI146" s="315"/>
      <c r="LNQ146" s="315"/>
      <c r="LNY146" s="315"/>
      <c r="LOG146" s="315"/>
      <c r="LOO146" s="315"/>
      <c r="LOW146" s="315"/>
      <c r="LPE146" s="315"/>
      <c r="LPM146" s="315"/>
      <c r="LPU146" s="315"/>
      <c r="LQC146" s="315"/>
      <c r="LQK146" s="315"/>
      <c r="LQS146" s="315"/>
      <c r="LRA146" s="315"/>
      <c r="LRI146" s="315"/>
      <c r="LRQ146" s="315"/>
      <c r="LRY146" s="315"/>
      <c r="LSG146" s="315"/>
      <c r="LSO146" s="315"/>
      <c r="LSW146" s="315"/>
      <c r="LTE146" s="315"/>
      <c r="LTM146" s="315"/>
      <c r="LTU146" s="315"/>
      <c r="LUC146" s="315"/>
      <c r="LUK146" s="315"/>
      <c r="LUS146" s="315"/>
      <c r="LVA146" s="315"/>
      <c r="LVI146" s="315"/>
      <c r="LVQ146" s="315"/>
      <c r="LVY146" s="315"/>
      <c r="LWG146" s="315"/>
      <c r="LWO146" s="315"/>
      <c r="LWW146" s="315"/>
      <c r="LXE146" s="315"/>
      <c r="LXM146" s="315"/>
      <c r="LXU146" s="315"/>
      <c r="LYC146" s="315"/>
      <c r="LYK146" s="315"/>
      <c r="LYS146" s="315"/>
      <c r="LZA146" s="315"/>
      <c r="LZI146" s="315"/>
      <c r="LZQ146" s="315"/>
      <c r="LZY146" s="315"/>
      <c r="MAG146" s="315"/>
      <c r="MAO146" s="315"/>
      <c r="MAW146" s="315"/>
      <c r="MBE146" s="315"/>
      <c r="MBM146" s="315"/>
      <c r="MBU146" s="315"/>
      <c r="MCC146" s="315"/>
      <c r="MCK146" s="315"/>
      <c r="MCS146" s="315"/>
      <c r="MDA146" s="315"/>
      <c r="MDI146" s="315"/>
      <c r="MDQ146" s="315"/>
      <c r="MDY146" s="315"/>
      <c r="MEG146" s="315"/>
      <c r="MEO146" s="315"/>
      <c r="MEW146" s="315"/>
      <c r="MFE146" s="315"/>
      <c r="MFM146" s="315"/>
      <c r="MFU146" s="315"/>
      <c r="MGC146" s="315"/>
      <c r="MGK146" s="315"/>
      <c r="MGS146" s="315"/>
      <c r="MHA146" s="315"/>
      <c r="MHI146" s="315"/>
      <c r="MHQ146" s="315"/>
      <c r="MHY146" s="315"/>
      <c r="MIG146" s="315"/>
      <c r="MIO146" s="315"/>
      <c r="MIW146" s="315"/>
      <c r="MJE146" s="315"/>
      <c r="MJM146" s="315"/>
      <c r="MJU146" s="315"/>
      <c r="MKC146" s="315"/>
      <c r="MKK146" s="315"/>
      <c r="MKS146" s="315"/>
      <c r="MLA146" s="315"/>
      <c r="MLI146" s="315"/>
      <c r="MLQ146" s="315"/>
      <c r="MLY146" s="315"/>
      <c r="MMG146" s="315"/>
      <c r="MMO146" s="315"/>
      <c r="MMW146" s="315"/>
      <c r="MNE146" s="315"/>
      <c r="MNM146" s="315"/>
      <c r="MNU146" s="315"/>
      <c r="MOC146" s="315"/>
      <c r="MOK146" s="315"/>
      <c r="MOS146" s="315"/>
      <c r="MPA146" s="315"/>
      <c r="MPI146" s="315"/>
      <c r="MPQ146" s="315"/>
      <c r="MPY146" s="315"/>
      <c r="MQG146" s="315"/>
      <c r="MQO146" s="315"/>
      <c r="MQW146" s="315"/>
      <c r="MRE146" s="315"/>
      <c r="MRM146" s="315"/>
      <c r="MRU146" s="315"/>
      <c r="MSC146" s="315"/>
      <c r="MSK146" s="315"/>
      <c r="MSS146" s="315"/>
      <c r="MTA146" s="315"/>
      <c r="MTI146" s="315"/>
      <c r="MTQ146" s="315"/>
      <c r="MTY146" s="315"/>
      <c r="MUG146" s="315"/>
      <c r="MUO146" s="315"/>
      <c r="MUW146" s="315"/>
      <c r="MVE146" s="315"/>
      <c r="MVM146" s="315"/>
      <c r="MVU146" s="315"/>
      <c r="MWC146" s="315"/>
      <c r="MWK146" s="315"/>
      <c r="MWS146" s="315"/>
      <c r="MXA146" s="315"/>
      <c r="MXI146" s="315"/>
      <c r="MXQ146" s="315"/>
      <c r="MXY146" s="315"/>
      <c r="MYG146" s="315"/>
      <c r="MYO146" s="315"/>
      <c r="MYW146" s="315"/>
      <c r="MZE146" s="315"/>
      <c r="MZM146" s="315"/>
      <c r="MZU146" s="315"/>
      <c r="NAC146" s="315"/>
      <c r="NAK146" s="315"/>
      <c r="NAS146" s="315"/>
      <c r="NBA146" s="315"/>
      <c r="NBI146" s="315"/>
      <c r="NBQ146" s="315"/>
      <c r="NBY146" s="315"/>
      <c r="NCG146" s="315"/>
      <c r="NCO146" s="315"/>
      <c r="NCW146" s="315"/>
      <c r="NDE146" s="315"/>
      <c r="NDM146" s="315"/>
      <c r="NDU146" s="315"/>
      <c r="NEC146" s="315"/>
      <c r="NEK146" s="315"/>
      <c r="NES146" s="315"/>
      <c r="NFA146" s="315"/>
      <c r="NFI146" s="315"/>
      <c r="NFQ146" s="315"/>
      <c r="NFY146" s="315"/>
      <c r="NGG146" s="315"/>
      <c r="NGO146" s="315"/>
      <c r="NGW146" s="315"/>
      <c r="NHE146" s="315"/>
      <c r="NHM146" s="315"/>
      <c r="NHU146" s="315"/>
      <c r="NIC146" s="315"/>
      <c r="NIK146" s="315"/>
      <c r="NIS146" s="315"/>
      <c r="NJA146" s="315"/>
      <c r="NJI146" s="315"/>
      <c r="NJQ146" s="315"/>
      <c r="NJY146" s="315"/>
      <c r="NKG146" s="315"/>
      <c r="NKO146" s="315"/>
      <c r="NKW146" s="315"/>
      <c r="NLE146" s="315"/>
      <c r="NLM146" s="315"/>
      <c r="NLU146" s="315"/>
      <c r="NMC146" s="315"/>
      <c r="NMK146" s="315"/>
      <c r="NMS146" s="315"/>
      <c r="NNA146" s="315"/>
      <c r="NNI146" s="315"/>
      <c r="NNQ146" s="315"/>
      <c r="NNY146" s="315"/>
      <c r="NOG146" s="315"/>
      <c r="NOO146" s="315"/>
      <c r="NOW146" s="315"/>
      <c r="NPE146" s="315"/>
      <c r="NPM146" s="315"/>
      <c r="NPU146" s="315"/>
      <c r="NQC146" s="315"/>
      <c r="NQK146" s="315"/>
      <c r="NQS146" s="315"/>
      <c r="NRA146" s="315"/>
      <c r="NRI146" s="315"/>
      <c r="NRQ146" s="315"/>
      <c r="NRY146" s="315"/>
      <c r="NSG146" s="315"/>
      <c r="NSO146" s="315"/>
      <c r="NSW146" s="315"/>
      <c r="NTE146" s="315"/>
      <c r="NTM146" s="315"/>
      <c r="NTU146" s="315"/>
      <c r="NUC146" s="315"/>
      <c r="NUK146" s="315"/>
      <c r="NUS146" s="315"/>
      <c r="NVA146" s="315"/>
      <c r="NVI146" s="315"/>
      <c r="NVQ146" s="315"/>
      <c r="NVY146" s="315"/>
      <c r="NWG146" s="315"/>
      <c r="NWO146" s="315"/>
      <c r="NWW146" s="315"/>
      <c r="NXE146" s="315"/>
      <c r="NXM146" s="315"/>
      <c r="NXU146" s="315"/>
      <c r="NYC146" s="315"/>
      <c r="NYK146" s="315"/>
      <c r="NYS146" s="315"/>
      <c r="NZA146" s="315"/>
      <c r="NZI146" s="315"/>
      <c r="NZQ146" s="315"/>
      <c r="NZY146" s="315"/>
      <c r="OAG146" s="315"/>
      <c r="OAO146" s="315"/>
      <c r="OAW146" s="315"/>
      <c r="OBE146" s="315"/>
      <c r="OBM146" s="315"/>
      <c r="OBU146" s="315"/>
      <c r="OCC146" s="315"/>
      <c r="OCK146" s="315"/>
      <c r="OCS146" s="315"/>
      <c r="ODA146" s="315"/>
      <c r="ODI146" s="315"/>
      <c r="ODQ146" s="315"/>
      <c r="ODY146" s="315"/>
      <c r="OEG146" s="315"/>
      <c r="OEO146" s="315"/>
      <c r="OEW146" s="315"/>
      <c r="OFE146" s="315"/>
      <c r="OFM146" s="315"/>
      <c r="OFU146" s="315"/>
      <c r="OGC146" s="315"/>
      <c r="OGK146" s="315"/>
      <c r="OGS146" s="315"/>
      <c r="OHA146" s="315"/>
      <c r="OHI146" s="315"/>
      <c r="OHQ146" s="315"/>
      <c r="OHY146" s="315"/>
      <c r="OIG146" s="315"/>
      <c r="OIO146" s="315"/>
      <c r="OIW146" s="315"/>
      <c r="OJE146" s="315"/>
      <c r="OJM146" s="315"/>
      <c r="OJU146" s="315"/>
      <c r="OKC146" s="315"/>
      <c r="OKK146" s="315"/>
      <c r="OKS146" s="315"/>
      <c r="OLA146" s="315"/>
      <c r="OLI146" s="315"/>
      <c r="OLQ146" s="315"/>
      <c r="OLY146" s="315"/>
      <c r="OMG146" s="315"/>
      <c r="OMO146" s="315"/>
      <c r="OMW146" s="315"/>
      <c r="ONE146" s="315"/>
      <c r="ONM146" s="315"/>
      <c r="ONU146" s="315"/>
      <c r="OOC146" s="315"/>
      <c r="OOK146" s="315"/>
      <c r="OOS146" s="315"/>
      <c r="OPA146" s="315"/>
      <c r="OPI146" s="315"/>
      <c r="OPQ146" s="315"/>
      <c r="OPY146" s="315"/>
      <c r="OQG146" s="315"/>
      <c r="OQO146" s="315"/>
      <c r="OQW146" s="315"/>
      <c r="ORE146" s="315"/>
      <c r="ORM146" s="315"/>
      <c r="ORU146" s="315"/>
      <c r="OSC146" s="315"/>
      <c r="OSK146" s="315"/>
      <c r="OSS146" s="315"/>
      <c r="OTA146" s="315"/>
      <c r="OTI146" s="315"/>
      <c r="OTQ146" s="315"/>
      <c r="OTY146" s="315"/>
      <c r="OUG146" s="315"/>
      <c r="OUO146" s="315"/>
      <c r="OUW146" s="315"/>
      <c r="OVE146" s="315"/>
      <c r="OVM146" s="315"/>
      <c r="OVU146" s="315"/>
      <c r="OWC146" s="315"/>
      <c r="OWK146" s="315"/>
      <c r="OWS146" s="315"/>
      <c r="OXA146" s="315"/>
      <c r="OXI146" s="315"/>
      <c r="OXQ146" s="315"/>
      <c r="OXY146" s="315"/>
      <c r="OYG146" s="315"/>
      <c r="OYO146" s="315"/>
      <c r="OYW146" s="315"/>
      <c r="OZE146" s="315"/>
      <c r="OZM146" s="315"/>
      <c r="OZU146" s="315"/>
      <c r="PAC146" s="315"/>
      <c r="PAK146" s="315"/>
      <c r="PAS146" s="315"/>
      <c r="PBA146" s="315"/>
      <c r="PBI146" s="315"/>
      <c r="PBQ146" s="315"/>
      <c r="PBY146" s="315"/>
      <c r="PCG146" s="315"/>
      <c r="PCO146" s="315"/>
      <c r="PCW146" s="315"/>
      <c r="PDE146" s="315"/>
      <c r="PDM146" s="315"/>
      <c r="PDU146" s="315"/>
      <c r="PEC146" s="315"/>
      <c r="PEK146" s="315"/>
      <c r="PES146" s="315"/>
      <c r="PFA146" s="315"/>
      <c r="PFI146" s="315"/>
      <c r="PFQ146" s="315"/>
      <c r="PFY146" s="315"/>
      <c r="PGG146" s="315"/>
      <c r="PGO146" s="315"/>
      <c r="PGW146" s="315"/>
      <c r="PHE146" s="315"/>
      <c r="PHM146" s="315"/>
      <c r="PHU146" s="315"/>
      <c r="PIC146" s="315"/>
      <c r="PIK146" s="315"/>
      <c r="PIS146" s="315"/>
      <c r="PJA146" s="315"/>
      <c r="PJI146" s="315"/>
      <c r="PJQ146" s="315"/>
      <c r="PJY146" s="315"/>
      <c r="PKG146" s="315"/>
      <c r="PKO146" s="315"/>
      <c r="PKW146" s="315"/>
      <c r="PLE146" s="315"/>
      <c r="PLM146" s="315"/>
      <c r="PLU146" s="315"/>
      <c r="PMC146" s="315"/>
      <c r="PMK146" s="315"/>
      <c r="PMS146" s="315"/>
      <c r="PNA146" s="315"/>
      <c r="PNI146" s="315"/>
      <c r="PNQ146" s="315"/>
      <c r="PNY146" s="315"/>
      <c r="POG146" s="315"/>
      <c r="POO146" s="315"/>
      <c r="POW146" s="315"/>
      <c r="PPE146" s="315"/>
      <c r="PPM146" s="315"/>
      <c r="PPU146" s="315"/>
      <c r="PQC146" s="315"/>
      <c r="PQK146" s="315"/>
      <c r="PQS146" s="315"/>
      <c r="PRA146" s="315"/>
      <c r="PRI146" s="315"/>
      <c r="PRQ146" s="315"/>
      <c r="PRY146" s="315"/>
      <c r="PSG146" s="315"/>
      <c r="PSO146" s="315"/>
      <c r="PSW146" s="315"/>
      <c r="PTE146" s="315"/>
      <c r="PTM146" s="315"/>
      <c r="PTU146" s="315"/>
      <c r="PUC146" s="315"/>
      <c r="PUK146" s="315"/>
      <c r="PUS146" s="315"/>
      <c r="PVA146" s="315"/>
      <c r="PVI146" s="315"/>
      <c r="PVQ146" s="315"/>
      <c r="PVY146" s="315"/>
      <c r="PWG146" s="315"/>
      <c r="PWO146" s="315"/>
      <c r="PWW146" s="315"/>
      <c r="PXE146" s="315"/>
      <c r="PXM146" s="315"/>
      <c r="PXU146" s="315"/>
      <c r="PYC146" s="315"/>
      <c r="PYK146" s="315"/>
      <c r="PYS146" s="315"/>
      <c r="PZA146" s="315"/>
      <c r="PZI146" s="315"/>
      <c r="PZQ146" s="315"/>
      <c r="PZY146" s="315"/>
      <c r="QAG146" s="315"/>
      <c r="QAO146" s="315"/>
      <c r="QAW146" s="315"/>
      <c r="QBE146" s="315"/>
      <c r="QBM146" s="315"/>
      <c r="QBU146" s="315"/>
      <c r="QCC146" s="315"/>
      <c r="QCK146" s="315"/>
      <c r="QCS146" s="315"/>
      <c r="QDA146" s="315"/>
      <c r="QDI146" s="315"/>
      <c r="QDQ146" s="315"/>
      <c r="QDY146" s="315"/>
      <c r="QEG146" s="315"/>
      <c r="QEO146" s="315"/>
      <c r="QEW146" s="315"/>
      <c r="QFE146" s="315"/>
      <c r="QFM146" s="315"/>
      <c r="QFU146" s="315"/>
      <c r="QGC146" s="315"/>
      <c r="QGK146" s="315"/>
      <c r="QGS146" s="315"/>
      <c r="QHA146" s="315"/>
      <c r="QHI146" s="315"/>
      <c r="QHQ146" s="315"/>
      <c r="QHY146" s="315"/>
      <c r="QIG146" s="315"/>
      <c r="QIO146" s="315"/>
      <c r="QIW146" s="315"/>
      <c r="QJE146" s="315"/>
      <c r="QJM146" s="315"/>
      <c r="QJU146" s="315"/>
      <c r="QKC146" s="315"/>
      <c r="QKK146" s="315"/>
      <c r="QKS146" s="315"/>
      <c r="QLA146" s="315"/>
      <c r="QLI146" s="315"/>
      <c r="QLQ146" s="315"/>
      <c r="QLY146" s="315"/>
      <c r="QMG146" s="315"/>
      <c r="QMO146" s="315"/>
      <c r="QMW146" s="315"/>
      <c r="QNE146" s="315"/>
      <c r="QNM146" s="315"/>
      <c r="QNU146" s="315"/>
      <c r="QOC146" s="315"/>
      <c r="QOK146" s="315"/>
      <c r="QOS146" s="315"/>
      <c r="QPA146" s="315"/>
      <c r="QPI146" s="315"/>
      <c r="QPQ146" s="315"/>
      <c r="QPY146" s="315"/>
      <c r="QQG146" s="315"/>
      <c r="QQO146" s="315"/>
      <c r="QQW146" s="315"/>
      <c r="QRE146" s="315"/>
      <c r="QRM146" s="315"/>
      <c r="QRU146" s="315"/>
      <c r="QSC146" s="315"/>
      <c r="QSK146" s="315"/>
      <c r="QSS146" s="315"/>
      <c r="QTA146" s="315"/>
      <c r="QTI146" s="315"/>
      <c r="QTQ146" s="315"/>
      <c r="QTY146" s="315"/>
      <c r="QUG146" s="315"/>
      <c r="QUO146" s="315"/>
      <c r="QUW146" s="315"/>
      <c r="QVE146" s="315"/>
      <c r="QVM146" s="315"/>
      <c r="QVU146" s="315"/>
      <c r="QWC146" s="315"/>
      <c r="QWK146" s="315"/>
      <c r="QWS146" s="315"/>
      <c r="QXA146" s="315"/>
      <c r="QXI146" s="315"/>
      <c r="QXQ146" s="315"/>
      <c r="QXY146" s="315"/>
      <c r="QYG146" s="315"/>
      <c r="QYO146" s="315"/>
      <c r="QYW146" s="315"/>
      <c r="QZE146" s="315"/>
      <c r="QZM146" s="315"/>
      <c r="QZU146" s="315"/>
      <c r="RAC146" s="315"/>
      <c r="RAK146" s="315"/>
      <c r="RAS146" s="315"/>
      <c r="RBA146" s="315"/>
      <c r="RBI146" s="315"/>
      <c r="RBQ146" s="315"/>
      <c r="RBY146" s="315"/>
      <c r="RCG146" s="315"/>
      <c r="RCO146" s="315"/>
      <c r="RCW146" s="315"/>
      <c r="RDE146" s="315"/>
      <c r="RDM146" s="315"/>
      <c r="RDU146" s="315"/>
      <c r="REC146" s="315"/>
      <c r="REK146" s="315"/>
      <c r="RES146" s="315"/>
      <c r="RFA146" s="315"/>
      <c r="RFI146" s="315"/>
      <c r="RFQ146" s="315"/>
      <c r="RFY146" s="315"/>
      <c r="RGG146" s="315"/>
      <c r="RGO146" s="315"/>
      <c r="RGW146" s="315"/>
      <c r="RHE146" s="315"/>
      <c r="RHM146" s="315"/>
      <c r="RHU146" s="315"/>
      <c r="RIC146" s="315"/>
      <c r="RIK146" s="315"/>
      <c r="RIS146" s="315"/>
      <c r="RJA146" s="315"/>
      <c r="RJI146" s="315"/>
      <c r="RJQ146" s="315"/>
      <c r="RJY146" s="315"/>
      <c r="RKG146" s="315"/>
      <c r="RKO146" s="315"/>
      <c r="RKW146" s="315"/>
      <c r="RLE146" s="315"/>
      <c r="RLM146" s="315"/>
      <c r="RLU146" s="315"/>
      <c r="RMC146" s="315"/>
      <c r="RMK146" s="315"/>
      <c r="RMS146" s="315"/>
      <c r="RNA146" s="315"/>
      <c r="RNI146" s="315"/>
      <c r="RNQ146" s="315"/>
      <c r="RNY146" s="315"/>
      <c r="ROG146" s="315"/>
      <c r="ROO146" s="315"/>
      <c r="ROW146" s="315"/>
      <c r="RPE146" s="315"/>
      <c r="RPM146" s="315"/>
      <c r="RPU146" s="315"/>
      <c r="RQC146" s="315"/>
      <c r="RQK146" s="315"/>
      <c r="RQS146" s="315"/>
      <c r="RRA146" s="315"/>
      <c r="RRI146" s="315"/>
      <c r="RRQ146" s="315"/>
      <c r="RRY146" s="315"/>
      <c r="RSG146" s="315"/>
      <c r="RSO146" s="315"/>
      <c r="RSW146" s="315"/>
      <c r="RTE146" s="315"/>
      <c r="RTM146" s="315"/>
      <c r="RTU146" s="315"/>
      <c r="RUC146" s="315"/>
      <c r="RUK146" s="315"/>
      <c r="RUS146" s="315"/>
      <c r="RVA146" s="315"/>
      <c r="RVI146" s="315"/>
      <c r="RVQ146" s="315"/>
      <c r="RVY146" s="315"/>
      <c r="RWG146" s="315"/>
      <c r="RWO146" s="315"/>
      <c r="RWW146" s="315"/>
      <c r="RXE146" s="315"/>
      <c r="RXM146" s="315"/>
      <c r="RXU146" s="315"/>
      <c r="RYC146" s="315"/>
      <c r="RYK146" s="315"/>
      <c r="RYS146" s="315"/>
      <c r="RZA146" s="315"/>
      <c r="RZI146" s="315"/>
      <c r="RZQ146" s="315"/>
      <c r="RZY146" s="315"/>
      <c r="SAG146" s="315"/>
      <c r="SAO146" s="315"/>
      <c r="SAW146" s="315"/>
      <c r="SBE146" s="315"/>
      <c r="SBM146" s="315"/>
      <c r="SBU146" s="315"/>
      <c r="SCC146" s="315"/>
      <c r="SCK146" s="315"/>
      <c r="SCS146" s="315"/>
      <c r="SDA146" s="315"/>
      <c r="SDI146" s="315"/>
      <c r="SDQ146" s="315"/>
      <c r="SDY146" s="315"/>
      <c r="SEG146" s="315"/>
      <c r="SEO146" s="315"/>
      <c r="SEW146" s="315"/>
      <c r="SFE146" s="315"/>
      <c r="SFM146" s="315"/>
      <c r="SFU146" s="315"/>
      <c r="SGC146" s="315"/>
      <c r="SGK146" s="315"/>
      <c r="SGS146" s="315"/>
      <c r="SHA146" s="315"/>
      <c r="SHI146" s="315"/>
      <c r="SHQ146" s="315"/>
      <c r="SHY146" s="315"/>
      <c r="SIG146" s="315"/>
      <c r="SIO146" s="315"/>
      <c r="SIW146" s="315"/>
      <c r="SJE146" s="315"/>
      <c r="SJM146" s="315"/>
      <c r="SJU146" s="315"/>
      <c r="SKC146" s="315"/>
      <c r="SKK146" s="315"/>
      <c r="SKS146" s="315"/>
      <c r="SLA146" s="315"/>
      <c r="SLI146" s="315"/>
      <c r="SLQ146" s="315"/>
      <c r="SLY146" s="315"/>
      <c r="SMG146" s="315"/>
      <c r="SMO146" s="315"/>
      <c r="SMW146" s="315"/>
      <c r="SNE146" s="315"/>
      <c r="SNM146" s="315"/>
      <c r="SNU146" s="315"/>
      <c r="SOC146" s="315"/>
      <c r="SOK146" s="315"/>
      <c r="SOS146" s="315"/>
      <c r="SPA146" s="315"/>
      <c r="SPI146" s="315"/>
      <c r="SPQ146" s="315"/>
      <c r="SPY146" s="315"/>
      <c r="SQG146" s="315"/>
      <c r="SQO146" s="315"/>
      <c r="SQW146" s="315"/>
      <c r="SRE146" s="315"/>
      <c r="SRM146" s="315"/>
      <c r="SRU146" s="315"/>
      <c r="SSC146" s="315"/>
      <c r="SSK146" s="315"/>
      <c r="SSS146" s="315"/>
      <c r="STA146" s="315"/>
      <c r="STI146" s="315"/>
      <c r="STQ146" s="315"/>
      <c r="STY146" s="315"/>
      <c r="SUG146" s="315"/>
      <c r="SUO146" s="315"/>
      <c r="SUW146" s="315"/>
      <c r="SVE146" s="315"/>
      <c r="SVM146" s="315"/>
      <c r="SVU146" s="315"/>
      <c r="SWC146" s="315"/>
      <c r="SWK146" s="315"/>
      <c r="SWS146" s="315"/>
      <c r="SXA146" s="315"/>
      <c r="SXI146" s="315"/>
      <c r="SXQ146" s="315"/>
      <c r="SXY146" s="315"/>
      <c r="SYG146" s="315"/>
      <c r="SYO146" s="315"/>
      <c r="SYW146" s="315"/>
      <c r="SZE146" s="315"/>
      <c r="SZM146" s="315"/>
      <c r="SZU146" s="315"/>
      <c r="TAC146" s="315"/>
      <c r="TAK146" s="315"/>
      <c r="TAS146" s="315"/>
      <c r="TBA146" s="315"/>
      <c r="TBI146" s="315"/>
      <c r="TBQ146" s="315"/>
      <c r="TBY146" s="315"/>
      <c r="TCG146" s="315"/>
      <c r="TCO146" s="315"/>
      <c r="TCW146" s="315"/>
      <c r="TDE146" s="315"/>
      <c r="TDM146" s="315"/>
      <c r="TDU146" s="315"/>
      <c r="TEC146" s="315"/>
      <c r="TEK146" s="315"/>
      <c r="TES146" s="315"/>
      <c r="TFA146" s="315"/>
      <c r="TFI146" s="315"/>
      <c r="TFQ146" s="315"/>
      <c r="TFY146" s="315"/>
      <c r="TGG146" s="315"/>
      <c r="TGO146" s="315"/>
      <c r="TGW146" s="315"/>
      <c r="THE146" s="315"/>
      <c r="THM146" s="315"/>
      <c r="THU146" s="315"/>
      <c r="TIC146" s="315"/>
      <c r="TIK146" s="315"/>
      <c r="TIS146" s="315"/>
      <c r="TJA146" s="315"/>
      <c r="TJI146" s="315"/>
      <c r="TJQ146" s="315"/>
      <c r="TJY146" s="315"/>
      <c r="TKG146" s="315"/>
      <c r="TKO146" s="315"/>
      <c r="TKW146" s="315"/>
      <c r="TLE146" s="315"/>
      <c r="TLM146" s="315"/>
      <c r="TLU146" s="315"/>
      <c r="TMC146" s="315"/>
      <c r="TMK146" s="315"/>
      <c r="TMS146" s="315"/>
      <c r="TNA146" s="315"/>
      <c r="TNI146" s="315"/>
      <c r="TNQ146" s="315"/>
      <c r="TNY146" s="315"/>
      <c r="TOG146" s="315"/>
      <c r="TOO146" s="315"/>
      <c r="TOW146" s="315"/>
      <c r="TPE146" s="315"/>
      <c r="TPM146" s="315"/>
      <c r="TPU146" s="315"/>
      <c r="TQC146" s="315"/>
      <c r="TQK146" s="315"/>
      <c r="TQS146" s="315"/>
      <c r="TRA146" s="315"/>
      <c r="TRI146" s="315"/>
      <c r="TRQ146" s="315"/>
      <c r="TRY146" s="315"/>
      <c r="TSG146" s="315"/>
      <c r="TSO146" s="315"/>
      <c r="TSW146" s="315"/>
      <c r="TTE146" s="315"/>
      <c r="TTM146" s="315"/>
      <c r="TTU146" s="315"/>
      <c r="TUC146" s="315"/>
      <c r="TUK146" s="315"/>
      <c r="TUS146" s="315"/>
      <c r="TVA146" s="315"/>
      <c r="TVI146" s="315"/>
      <c r="TVQ146" s="315"/>
      <c r="TVY146" s="315"/>
      <c r="TWG146" s="315"/>
      <c r="TWO146" s="315"/>
      <c r="TWW146" s="315"/>
      <c r="TXE146" s="315"/>
      <c r="TXM146" s="315"/>
      <c r="TXU146" s="315"/>
      <c r="TYC146" s="315"/>
      <c r="TYK146" s="315"/>
      <c r="TYS146" s="315"/>
      <c r="TZA146" s="315"/>
      <c r="TZI146" s="315"/>
      <c r="TZQ146" s="315"/>
      <c r="TZY146" s="315"/>
      <c r="UAG146" s="315"/>
      <c r="UAO146" s="315"/>
      <c r="UAW146" s="315"/>
      <c r="UBE146" s="315"/>
      <c r="UBM146" s="315"/>
      <c r="UBU146" s="315"/>
      <c r="UCC146" s="315"/>
      <c r="UCK146" s="315"/>
      <c r="UCS146" s="315"/>
      <c r="UDA146" s="315"/>
      <c r="UDI146" s="315"/>
      <c r="UDQ146" s="315"/>
      <c r="UDY146" s="315"/>
      <c r="UEG146" s="315"/>
      <c r="UEO146" s="315"/>
      <c r="UEW146" s="315"/>
      <c r="UFE146" s="315"/>
      <c r="UFM146" s="315"/>
      <c r="UFU146" s="315"/>
      <c r="UGC146" s="315"/>
      <c r="UGK146" s="315"/>
      <c r="UGS146" s="315"/>
      <c r="UHA146" s="315"/>
      <c r="UHI146" s="315"/>
      <c r="UHQ146" s="315"/>
      <c r="UHY146" s="315"/>
      <c r="UIG146" s="315"/>
      <c r="UIO146" s="315"/>
      <c r="UIW146" s="315"/>
      <c r="UJE146" s="315"/>
      <c r="UJM146" s="315"/>
      <c r="UJU146" s="315"/>
      <c r="UKC146" s="315"/>
      <c r="UKK146" s="315"/>
      <c r="UKS146" s="315"/>
      <c r="ULA146" s="315"/>
      <c r="ULI146" s="315"/>
      <c r="ULQ146" s="315"/>
      <c r="ULY146" s="315"/>
      <c r="UMG146" s="315"/>
      <c r="UMO146" s="315"/>
      <c r="UMW146" s="315"/>
      <c r="UNE146" s="315"/>
      <c r="UNM146" s="315"/>
      <c r="UNU146" s="315"/>
      <c r="UOC146" s="315"/>
      <c r="UOK146" s="315"/>
      <c r="UOS146" s="315"/>
      <c r="UPA146" s="315"/>
      <c r="UPI146" s="315"/>
      <c r="UPQ146" s="315"/>
      <c r="UPY146" s="315"/>
      <c r="UQG146" s="315"/>
      <c r="UQO146" s="315"/>
      <c r="UQW146" s="315"/>
      <c r="URE146" s="315"/>
      <c r="URM146" s="315"/>
      <c r="URU146" s="315"/>
      <c r="USC146" s="315"/>
      <c r="USK146" s="315"/>
      <c r="USS146" s="315"/>
      <c r="UTA146" s="315"/>
      <c r="UTI146" s="315"/>
      <c r="UTQ146" s="315"/>
      <c r="UTY146" s="315"/>
      <c r="UUG146" s="315"/>
      <c r="UUO146" s="315"/>
      <c r="UUW146" s="315"/>
      <c r="UVE146" s="315"/>
      <c r="UVM146" s="315"/>
      <c r="UVU146" s="315"/>
      <c r="UWC146" s="315"/>
      <c r="UWK146" s="315"/>
      <c r="UWS146" s="315"/>
      <c r="UXA146" s="315"/>
      <c r="UXI146" s="315"/>
      <c r="UXQ146" s="315"/>
      <c r="UXY146" s="315"/>
      <c r="UYG146" s="315"/>
      <c r="UYO146" s="315"/>
      <c r="UYW146" s="315"/>
      <c r="UZE146" s="315"/>
      <c r="UZM146" s="315"/>
      <c r="UZU146" s="315"/>
      <c r="VAC146" s="315"/>
      <c r="VAK146" s="315"/>
      <c r="VAS146" s="315"/>
      <c r="VBA146" s="315"/>
      <c r="VBI146" s="315"/>
      <c r="VBQ146" s="315"/>
      <c r="VBY146" s="315"/>
      <c r="VCG146" s="315"/>
      <c r="VCO146" s="315"/>
      <c r="VCW146" s="315"/>
      <c r="VDE146" s="315"/>
      <c r="VDM146" s="315"/>
      <c r="VDU146" s="315"/>
      <c r="VEC146" s="315"/>
      <c r="VEK146" s="315"/>
      <c r="VES146" s="315"/>
      <c r="VFA146" s="315"/>
      <c r="VFI146" s="315"/>
      <c r="VFQ146" s="315"/>
      <c r="VFY146" s="315"/>
      <c r="VGG146" s="315"/>
      <c r="VGO146" s="315"/>
      <c r="VGW146" s="315"/>
      <c r="VHE146" s="315"/>
      <c r="VHM146" s="315"/>
      <c r="VHU146" s="315"/>
      <c r="VIC146" s="315"/>
      <c r="VIK146" s="315"/>
      <c r="VIS146" s="315"/>
      <c r="VJA146" s="315"/>
      <c r="VJI146" s="315"/>
      <c r="VJQ146" s="315"/>
      <c r="VJY146" s="315"/>
      <c r="VKG146" s="315"/>
      <c r="VKO146" s="315"/>
      <c r="VKW146" s="315"/>
      <c r="VLE146" s="315"/>
      <c r="VLM146" s="315"/>
      <c r="VLU146" s="315"/>
      <c r="VMC146" s="315"/>
      <c r="VMK146" s="315"/>
      <c r="VMS146" s="315"/>
      <c r="VNA146" s="315"/>
      <c r="VNI146" s="315"/>
      <c r="VNQ146" s="315"/>
      <c r="VNY146" s="315"/>
      <c r="VOG146" s="315"/>
      <c r="VOO146" s="315"/>
      <c r="VOW146" s="315"/>
      <c r="VPE146" s="315"/>
      <c r="VPM146" s="315"/>
      <c r="VPU146" s="315"/>
      <c r="VQC146" s="315"/>
      <c r="VQK146" s="315"/>
      <c r="VQS146" s="315"/>
      <c r="VRA146" s="315"/>
      <c r="VRI146" s="315"/>
      <c r="VRQ146" s="315"/>
      <c r="VRY146" s="315"/>
      <c r="VSG146" s="315"/>
      <c r="VSO146" s="315"/>
      <c r="VSW146" s="315"/>
      <c r="VTE146" s="315"/>
      <c r="VTM146" s="315"/>
      <c r="VTU146" s="315"/>
      <c r="VUC146" s="315"/>
      <c r="VUK146" s="315"/>
      <c r="VUS146" s="315"/>
      <c r="VVA146" s="315"/>
      <c r="VVI146" s="315"/>
      <c r="VVQ146" s="315"/>
      <c r="VVY146" s="315"/>
      <c r="VWG146" s="315"/>
      <c r="VWO146" s="315"/>
      <c r="VWW146" s="315"/>
      <c r="VXE146" s="315"/>
      <c r="VXM146" s="315"/>
      <c r="VXU146" s="315"/>
      <c r="VYC146" s="315"/>
      <c r="VYK146" s="315"/>
      <c r="VYS146" s="315"/>
      <c r="VZA146" s="315"/>
      <c r="VZI146" s="315"/>
      <c r="VZQ146" s="315"/>
      <c r="VZY146" s="315"/>
      <c r="WAG146" s="315"/>
      <c r="WAO146" s="315"/>
      <c r="WAW146" s="315"/>
      <c r="WBE146" s="315"/>
      <c r="WBM146" s="315"/>
      <c r="WBU146" s="315"/>
      <c r="WCC146" s="315"/>
      <c r="WCK146" s="315"/>
      <c r="WCS146" s="315"/>
      <c r="WDA146" s="315"/>
      <c r="WDI146" s="315"/>
      <c r="WDQ146" s="315"/>
      <c r="WDY146" s="315"/>
      <c r="WEG146" s="315"/>
      <c r="WEO146" s="315"/>
      <c r="WEW146" s="315"/>
      <c r="WFE146" s="315"/>
      <c r="WFM146" s="315"/>
      <c r="WFU146" s="315"/>
      <c r="WGC146" s="315"/>
      <c r="WGK146" s="315"/>
      <c r="WGS146" s="315"/>
      <c r="WHA146" s="315"/>
      <c r="WHI146" s="315"/>
      <c r="WHQ146" s="315"/>
      <c r="WHY146" s="315"/>
      <c r="WIG146" s="315"/>
      <c r="WIO146" s="315"/>
      <c r="WIW146" s="315"/>
      <c r="WJE146" s="315"/>
      <c r="WJM146" s="315"/>
      <c r="WJU146" s="315"/>
      <c r="WKC146" s="315"/>
      <c r="WKK146" s="315"/>
      <c r="WKS146" s="315"/>
      <c r="WLA146" s="315"/>
      <c r="WLI146" s="315"/>
      <c r="WLQ146" s="315"/>
      <c r="WLY146" s="315"/>
      <c r="WMG146" s="315"/>
      <c r="WMO146" s="315"/>
      <c r="WMW146" s="315"/>
      <c r="WNE146" s="315"/>
      <c r="WNM146" s="315"/>
      <c r="WNU146" s="315"/>
      <c r="WOC146" s="315"/>
      <c r="WOK146" s="315"/>
      <c r="WOS146" s="315"/>
      <c r="WPA146" s="315"/>
      <c r="WPI146" s="315"/>
      <c r="WPQ146" s="315"/>
      <c r="WPY146" s="315"/>
      <c r="WQG146" s="315"/>
      <c r="WQO146" s="315"/>
      <c r="WQW146" s="315"/>
      <c r="WRE146" s="315"/>
      <c r="WRM146" s="315"/>
      <c r="WRU146" s="315"/>
      <c r="WSC146" s="315"/>
      <c r="WSK146" s="315"/>
      <c r="WSS146" s="315"/>
      <c r="WTA146" s="315"/>
      <c r="WTI146" s="315"/>
      <c r="WTQ146" s="315"/>
      <c r="WTY146" s="315"/>
      <c r="WUG146" s="315"/>
      <c r="WUO146" s="315"/>
      <c r="WUW146" s="315"/>
      <c r="WVE146" s="315"/>
      <c r="WVM146" s="315"/>
      <c r="WVU146" s="315"/>
      <c r="WWC146" s="315"/>
      <c r="WWK146" s="315"/>
      <c r="WWS146" s="315"/>
      <c r="WXA146" s="315"/>
      <c r="WXI146" s="315"/>
      <c r="WXQ146" s="315"/>
      <c r="WXY146" s="315"/>
      <c r="WYG146" s="315"/>
      <c r="WYO146" s="315"/>
      <c r="WYW146" s="315"/>
      <c r="WZE146" s="315"/>
      <c r="WZM146" s="315"/>
      <c r="WZU146" s="315"/>
      <c r="XAC146" s="315"/>
      <c r="XAK146" s="315"/>
      <c r="XAS146" s="315"/>
      <c r="XBA146" s="315"/>
      <c r="XBI146" s="315"/>
      <c r="XBQ146" s="315"/>
      <c r="XBY146" s="315"/>
      <c r="XCG146" s="315"/>
      <c r="XCO146" s="315"/>
      <c r="XCW146" s="315"/>
      <c r="XDE146" s="315"/>
      <c r="XDM146" s="315"/>
      <c r="XDU146" s="315"/>
      <c r="XEC146" s="315"/>
      <c r="XEK146" s="315"/>
      <c r="XES146" s="315"/>
      <c r="XFA146" s="315"/>
    </row>
    <row r="147" spans="1:1021 1029:2045 2053:3069 3077:4093 4101:5117 5125:6141 6149:7165 7173:8189 8197:9213 9221:10237 10245:11261 11269:12285 12293:13309 13317:14333 14341:15357 15365:16381" s="287" customFormat="1" ht="19.5" x14ac:dyDescent="0.3">
      <c r="A147" s="316"/>
      <c r="B147" s="131"/>
      <c r="C147" s="298"/>
      <c r="D147" s="131"/>
      <c r="E147" s="181"/>
      <c r="F147" s="181"/>
      <c r="G147" s="132"/>
      <c r="H147" s="132"/>
      <c r="I147" s="132"/>
      <c r="J147" s="132"/>
      <c r="K147" s="142"/>
      <c r="L147" s="142"/>
      <c r="M147" s="145" t="str">
        <f>IF(D144="Omlastning (Rotterdam)","g CO2eq/MJ tallbeckolja till Sverige:", " ")</f>
        <v>g CO2eq/MJ tallbeckolja till Sverige:</v>
      </c>
      <c r="N147" s="101">
        <f>IF(D144="Omlastning (Rotterdam)",(Indata!$K$54*Indata!$U$70*Indata!$D$35*Indata!$C$35)/(Indata!$G$54*Indata!$H$54*IF(D23="Eget värmevärde",$G$23,VLOOKUP(D23,Indata!$1:$1048576,4,FALSE))),IF(D144="Ej känt om omlastning sker",(Indata!$K$54*Indata!$U$70*Indata!$D$35*Indata!$C$35)/(Indata!$G$54*Indata!$H$54*IF(D23="Eget värmevärde",$G$23,VLOOKUP(D23,Indata!$1:$1048576,4,FALSE))),0))</f>
        <v>1.1066246927402328</v>
      </c>
      <c r="O147" s="142"/>
      <c r="P147" s="142"/>
      <c r="Q147" s="142"/>
      <c r="U147" s="315"/>
      <c r="AC147" s="315"/>
      <c r="AK147" s="315"/>
      <c r="AS147" s="315"/>
      <c r="BA147" s="315"/>
      <c r="BI147" s="315"/>
      <c r="BQ147" s="315"/>
      <c r="BY147" s="315"/>
      <c r="CG147" s="315"/>
      <c r="CO147" s="315"/>
      <c r="CW147" s="315"/>
      <c r="DE147" s="315"/>
      <c r="DM147" s="315"/>
      <c r="DU147" s="315"/>
      <c r="EC147" s="315"/>
      <c r="EK147" s="315"/>
      <c r="ES147" s="315"/>
      <c r="FA147" s="315"/>
      <c r="FI147" s="315"/>
      <c r="FQ147" s="315"/>
      <c r="FY147" s="315"/>
      <c r="GG147" s="315"/>
      <c r="GO147" s="315"/>
      <c r="GW147" s="315"/>
      <c r="HE147" s="315"/>
      <c r="HM147" s="315"/>
      <c r="HU147" s="315"/>
      <c r="IC147" s="315"/>
      <c r="IK147" s="315"/>
      <c r="IS147" s="315"/>
      <c r="JA147" s="315"/>
      <c r="JI147" s="315"/>
      <c r="JQ147" s="315"/>
      <c r="JY147" s="315"/>
      <c r="KG147" s="315"/>
      <c r="KO147" s="315"/>
      <c r="KW147" s="315"/>
      <c r="LE147" s="315"/>
      <c r="LM147" s="315"/>
      <c r="LU147" s="315"/>
      <c r="MC147" s="315"/>
      <c r="MK147" s="315"/>
      <c r="MS147" s="315"/>
      <c r="NA147" s="315"/>
      <c r="NI147" s="315"/>
      <c r="NQ147" s="315"/>
      <c r="NY147" s="315"/>
      <c r="OG147" s="315"/>
      <c r="OO147" s="315"/>
      <c r="OW147" s="315"/>
      <c r="PE147" s="315"/>
      <c r="PM147" s="315"/>
      <c r="PU147" s="315"/>
      <c r="QC147" s="315"/>
      <c r="QK147" s="315"/>
      <c r="QS147" s="315"/>
      <c r="RA147" s="315"/>
      <c r="RI147" s="315"/>
      <c r="RQ147" s="315"/>
      <c r="RY147" s="315"/>
      <c r="SG147" s="315"/>
      <c r="SO147" s="315"/>
      <c r="SW147" s="315"/>
      <c r="TE147" s="315"/>
      <c r="TM147" s="315"/>
      <c r="TU147" s="315"/>
      <c r="UC147" s="315"/>
      <c r="UK147" s="315"/>
      <c r="US147" s="315"/>
      <c r="VA147" s="315"/>
      <c r="VI147" s="315"/>
      <c r="VQ147" s="315"/>
      <c r="VY147" s="315"/>
      <c r="WG147" s="315"/>
      <c r="WO147" s="315"/>
      <c r="WW147" s="315"/>
      <c r="XE147" s="315"/>
      <c r="XM147" s="315"/>
      <c r="XU147" s="315"/>
      <c r="YC147" s="315"/>
      <c r="YK147" s="315"/>
      <c r="YS147" s="315"/>
      <c r="ZA147" s="315"/>
      <c r="ZI147" s="315"/>
      <c r="ZQ147" s="315"/>
      <c r="ZY147" s="315"/>
      <c r="AAG147" s="315"/>
      <c r="AAO147" s="315"/>
      <c r="AAW147" s="315"/>
      <c r="ABE147" s="315"/>
      <c r="ABM147" s="315"/>
      <c r="ABU147" s="315"/>
      <c r="ACC147" s="315"/>
      <c r="ACK147" s="315"/>
      <c r="ACS147" s="315"/>
      <c r="ADA147" s="315"/>
      <c r="ADI147" s="315"/>
      <c r="ADQ147" s="315"/>
      <c r="ADY147" s="315"/>
      <c r="AEG147" s="315"/>
      <c r="AEO147" s="315"/>
      <c r="AEW147" s="315"/>
      <c r="AFE147" s="315"/>
      <c r="AFM147" s="315"/>
      <c r="AFU147" s="315"/>
      <c r="AGC147" s="315"/>
      <c r="AGK147" s="315"/>
      <c r="AGS147" s="315"/>
      <c r="AHA147" s="315"/>
      <c r="AHI147" s="315"/>
      <c r="AHQ147" s="315"/>
      <c r="AHY147" s="315"/>
      <c r="AIG147" s="315"/>
      <c r="AIO147" s="315"/>
      <c r="AIW147" s="315"/>
      <c r="AJE147" s="315"/>
      <c r="AJM147" s="315"/>
      <c r="AJU147" s="315"/>
      <c r="AKC147" s="315"/>
      <c r="AKK147" s="315"/>
      <c r="AKS147" s="315"/>
      <c r="ALA147" s="315"/>
      <c r="ALI147" s="315"/>
      <c r="ALQ147" s="315"/>
      <c r="ALY147" s="315"/>
      <c r="AMG147" s="315"/>
      <c r="AMO147" s="315"/>
      <c r="AMW147" s="315"/>
      <c r="ANE147" s="315"/>
      <c r="ANM147" s="315"/>
      <c r="ANU147" s="315"/>
      <c r="AOC147" s="315"/>
      <c r="AOK147" s="315"/>
      <c r="AOS147" s="315"/>
      <c r="APA147" s="315"/>
      <c r="API147" s="315"/>
      <c r="APQ147" s="315"/>
      <c r="APY147" s="315"/>
      <c r="AQG147" s="315"/>
      <c r="AQO147" s="315"/>
      <c r="AQW147" s="315"/>
      <c r="ARE147" s="315"/>
      <c r="ARM147" s="315"/>
      <c r="ARU147" s="315"/>
      <c r="ASC147" s="315"/>
      <c r="ASK147" s="315"/>
      <c r="ASS147" s="315"/>
      <c r="ATA147" s="315"/>
      <c r="ATI147" s="315"/>
      <c r="ATQ147" s="315"/>
      <c r="ATY147" s="315"/>
      <c r="AUG147" s="315"/>
      <c r="AUO147" s="315"/>
      <c r="AUW147" s="315"/>
      <c r="AVE147" s="315"/>
      <c r="AVM147" s="315"/>
      <c r="AVU147" s="315"/>
      <c r="AWC147" s="315"/>
      <c r="AWK147" s="315"/>
      <c r="AWS147" s="315"/>
      <c r="AXA147" s="315"/>
      <c r="AXI147" s="315"/>
      <c r="AXQ147" s="315"/>
      <c r="AXY147" s="315"/>
      <c r="AYG147" s="315"/>
      <c r="AYO147" s="315"/>
      <c r="AYW147" s="315"/>
      <c r="AZE147" s="315"/>
      <c r="AZM147" s="315"/>
      <c r="AZU147" s="315"/>
      <c r="BAC147" s="315"/>
      <c r="BAK147" s="315"/>
      <c r="BAS147" s="315"/>
      <c r="BBA147" s="315"/>
      <c r="BBI147" s="315"/>
      <c r="BBQ147" s="315"/>
      <c r="BBY147" s="315"/>
      <c r="BCG147" s="315"/>
      <c r="BCO147" s="315"/>
      <c r="BCW147" s="315"/>
      <c r="BDE147" s="315"/>
      <c r="BDM147" s="315"/>
      <c r="BDU147" s="315"/>
      <c r="BEC147" s="315"/>
      <c r="BEK147" s="315"/>
      <c r="BES147" s="315"/>
      <c r="BFA147" s="315"/>
      <c r="BFI147" s="315"/>
      <c r="BFQ147" s="315"/>
      <c r="BFY147" s="315"/>
      <c r="BGG147" s="315"/>
      <c r="BGO147" s="315"/>
      <c r="BGW147" s="315"/>
      <c r="BHE147" s="315"/>
      <c r="BHM147" s="315"/>
      <c r="BHU147" s="315"/>
      <c r="BIC147" s="315"/>
      <c r="BIK147" s="315"/>
      <c r="BIS147" s="315"/>
      <c r="BJA147" s="315"/>
      <c r="BJI147" s="315"/>
      <c r="BJQ147" s="315"/>
      <c r="BJY147" s="315"/>
      <c r="BKG147" s="315"/>
      <c r="BKO147" s="315"/>
      <c r="BKW147" s="315"/>
      <c r="BLE147" s="315"/>
      <c r="BLM147" s="315"/>
      <c r="BLU147" s="315"/>
      <c r="BMC147" s="315"/>
      <c r="BMK147" s="315"/>
      <c r="BMS147" s="315"/>
      <c r="BNA147" s="315"/>
      <c r="BNI147" s="315"/>
      <c r="BNQ147" s="315"/>
      <c r="BNY147" s="315"/>
      <c r="BOG147" s="315"/>
      <c r="BOO147" s="315"/>
      <c r="BOW147" s="315"/>
      <c r="BPE147" s="315"/>
      <c r="BPM147" s="315"/>
      <c r="BPU147" s="315"/>
      <c r="BQC147" s="315"/>
      <c r="BQK147" s="315"/>
      <c r="BQS147" s="315"/>
      <c r="BRA147" s="315"/>
      <c r="BRI147" s="315"/>
      <c r="BRQ147" s="315"/>
      <c r="BRY147" s="315"/>
      <c r="BSG147" s="315"/>
      <c r="BSO147" s="315"/>
      <c r="BSW147" s="315"/>
      <c r="BTE147" s="315"/>
      <c r="BTM147" s="315"/>
      <c r="BTU147" s="315"/>
      <c r="BUC147" s="315"/>
      <c r="BUK147" s="315"/>
      <c r="BUS147" s="315"/>
      <c r="BVA147" s="315"/>
      <c r="BVI147" s="315"/>
      <c r="BVQ147" s="315"/>
      <c r="BVY147" s="315"/>
      <c r="BWG147" s="315"/>
      <c r="BWO147" s="315"/>
      <c r="BWW147" s="315"/>
      <c r="BXE147" s="315"/>
      <c r="BXM147" s="315"/>
      <c r="BXU147" s="315"/>
      <c r="BYC147" s="315"/>
      <c r="BYK147" s="315"/>
      <c r="BYS147" s="315"/>
      <c r="BZA147" s="315"/>
      <c r="BZI147" s="315"/>
      <c r="BZQ147" s="315"/>
      <c r="BZY147" s="315"/>
      <c r="CAG147" s="315"/>
      <c r="CAO147" s="315"/>
      <c r="CAW147" s="315"/>
      <c r="CBE147" s="315"/>
      <c r="CBM147" s="315"/>
      <c r="CBU147" s="315"/>
      <c r="CCC147" s="315"/>
      <c r="CCK147" s="315"/>
      <c r="CCS147" s="315"/>
      <c r="CDA147" s="315"/>
      <c r="CDI147" s="315"/>
      <c r="CDQ147" s="315"/>
      <c r="CDY147" s="315"/>
      <c r="CEG147" s="315"/>
      <c r="CEO147" s="315"/>
      <c r="CEW147" s="315"/>
      <c r="CFE147" s="315"/>
      <c r="CFM147" s="315"/>
      <c r="CFU147" s="315"/>
      <c r="CGC147" s="315"/>
      <c r="CGK147" s="315"/>
      <c r="CGS147" s="315"/>
      <c r="CHA147" s="315"/>
      <c r="CHI147" s="315"/>
      <c r="CHQ147" s="315"/>
      <c r="CHY147" s="315"/>
      <c r="CIG147" s="315"/>
      <c r="CIO147" s="315"/>
      <c r="CIW147" s="315"/>
      <c r="CJE147" s="315"/>
      <c r="CJM147" s="315"/>
      <c r="CJU147" s="315"/>
      <c r="CKC147" s="315"/>
      <c r="CKK147" s="315"/>
      <c r="CKS147" s="315"/>
      <c r="CLA147" s="315"/>
      <c r="CLI147" s="315"/>
      <c r="CLQ147" s="315"/>
      <c r="CLY147" s="315"/>
      <c r="CMG147" s="315"/>
      <c r="CMO147" s="315"/>
      <c r="CMW147" s="315"/>
      <c r="CNE147" s="315"/>
      <c r="CNM147" s="315"/>
      <c r="CNU147" s="315"/>
      <c r="COC147" s="315"/>
      <c r="COK147" s="315"/>
      <c r="COS147" s="315"/>
      <c r="CPA147" s="315"/>
      <c r="CPI147" s="315"/>
      <c r="CPQ147" s="315"/>
      <c r="CPY147" s="315"/>
      <c r="CQG147" s="315"/>
      <c r="CQO147" s="315"/>
      <c r="CQW147" s="315"/>
      <c r="CRE147" s="315"/>
      <c r="CRM147" s="315"/>
      <c r="CRU147" s="315"/>
      <c r="CSC147" s="315"/>
      <c r="CSK147" s="315"/>
      <c r="CSS147" s="315"/>
      <c r="CTA147" s="315"/>
      <c r="CTI147" s="315"/>
      <c r="CTQ147" s="315"/>
      <c r="CTY147" s="315"/>
      <c r="CUG147" s="315"/>
      <c r="CUO147" s="315"/>
      <c r="CUW147" s="315"/>
      <c r="CVE147" s="315"/>
      <c r="CVM147" s="315"/>
      <c r="CVU147" s="315"/>
      <c r="CWC147" s="315"/>
      <c r="CWK147" s="315"/>
      <c r="CWS147" s="315"/>
      <c r="CXA147" s="315"/>
      <c r="CXI147" s="315"/>
      <c r="CXQ147" s="315"/>
      <c r="CXY147" s="315"/>
      <c r="CYG147" s="315"/>
      <c r="CYO147" s="315"/>
      <c r="CYW147" s="315"/>
      <c r="CZE147" s="315"/>
      <c r="CZM147" s="315"/>
      <c r="CZU147" s="315"/>
      <c r="DAC147" s="315"/>
      <c r="DAK147" s="315"/>
      <c r="DAS147" s="315"/>
      <c r="DBA147" s="315"/>
      <c r="DBI147" s="315"/>
      <c r="DBQ147" s="315"/>
      <c r="DBY147" s="315"/>
      <c r="DCG147" s="315"/>
      <c r="DCO147" s="315"/>
      <c r="DCW147" s="315"/>
      <c r="DDE147" s="315"/>
      <c r="DDM147" s="315"/>
      <c r="DDU147" s="315"/>
      <c r="DEC147" s="315"/>
      <c r="DEK147" s="315"/>
      <c r="DES147" s="315"/>
      <c r="DFA147" s="315"/>
      <c r="DFI147" s="315"/>
      <c r="DFQ147" s="315"/>
      <c r="DFY147" s="315"/>
      <c r="DGG147" s="315"/>
      <c r="DGO147" s="315"/>
      <c r="DGW147" s="315"/>
      <c r="DHE147" s="315"/>
      <c r="DHM147" s="315"/>
      <c r="DHU147" s="315"/>
      <c r="DIC147" s="315"/>
      <c r="DIK147" s="315"/>
      <c r="DIS147" s="315"/>
      <c r="DJA147" s="315"/>
      <c r="DJI147" s="315"/>
      <c r="DJQ147" s="315"/>
      <c r="DJY147" s="315"/>
      <c r="DKG147" s="315"/>
      <c r="DKO147" s="315"/>
      <c r="DKW147" s="315"/>
      <c r="DLE147" s="315"/>
      <c r="DLM147" s="315"/>
      <c r="DLU147" s="315"/>
      <c r="DMC147" s="315"/>
      <c r="DMK147" s="315"/>
      <c r="DMS147" s="315"/>
      <c r="DNA147" s="315"/>
      <c r="DNI147" s="315"/>
      <c r="DNQ147" s="315"/>
      <c r="DNY147" s="315"/>
      <c r="DOG147" s="315"/>
      <c r="DOO147" s="315"/>
      <c r="DOW147" s="315"/>
      <c r="DPE147" s="315"/>
      <c r="DPM147" s="315"/>
      <c r="DPU147" s="315"/>
      <c r="DQC147" s="315"/>
      <c r="DQK147" s="315"/>
      <c r="DQS147" s="315"/>
      <c r="DRA147" s="315"/>
      <c r="DRI147" s="315"/>
      <c r="DRQ147" s="315"/>
      <c r="DRY147" s="315"/>
      <c r="DSG147" s="315"/>
      <c r="DSO147" s="315"/>
      <c r="DSW147" s="315"/>
      <c r="DTE147" s="315"/>
      <c r="DTM147" s="315"/>
      <c r="DTU147" s="315"/>
      <c r="DUC147" s="315"/>
      <c r="DUK147" s="315"/>
      <c r="DUS147" s="315"/>
      <c r="DVA147" s="315"/>
      <c r="DVI147" s="315"/>
      <c r="DVQ147" s="315"/>
      <c r="DVY147" s="315"/>
      <c r="DWG147" s="315"/>
      <c r="DWO147" s="315"/>
      <c r="DWW147" s="315"/>
      <c r="DXE147" s="315"/>
      <c r="DXM147" s="315"/>
      <c r="DXU147" s="315"/>
      <c r="DYC147" s="315"/>
      <c r="DYK147" s="315"/>
      <c r="DYS147" s="315"/>
      <c r="DZA147" s="315"/>
      <c r="DZI147" s="315"/>
      <c r="DZQ147" s="315"/>
      <c r="DZY147" s="315"/>
      <c r="EAG147" s="315"/>
      <c r="EAO147" s="315"/>
      <c r="EAW147" s="315"/>
      <c r="EBE147" s="315"/>
      <c r="EBM147" s="315"/>
      <c r="EBU147" s="315"/>
      <c r="ECC147" s="315"/>
      <c r="ECK147" s="315"/>
      <c r="ECS147" s="315"/>
      <c r="EDA147" s="315"/>
      <c r="EDI147" s="315"/>
      <c r="EDQ147" s="315"/>
      <c r="EDY147" s="315"/>
      <c r="EEG147" s="315"/>
      <c r="EEO147" s="315"/>
      <c r="EEW147" s="315"/>
      <c r="EFE147" s="315"/>
      <c r="EFM147" s="315"/>
      <c r="EFU147" s="315"/>
      <c r="EGC147" s="315"/>
      <c r="EGK147" s="315"/>
      <c r="EGS147" s="315"/>
      <c r="EHA147" s="315"/>
      <c r="EHI147" s="315"/>
      <c r="EHQ147" s="315"/>
      <c r="EHY147" s="315"/>
      <c r="EIG147" s="315"/>
      <c r="EIO147" s="315"/>
      <c r="EIW147" s="315"/>
      <c r="EJE147" s="315"/>
      <c r="EJM147" s="315"/>
      <c r="EJU147" s="315"/>
      <c r="EKC147" s="315"/>
      <c r="EKK147" s="315"/>
      <c r="EKS147" s="315"/>
      <c r="ELA147" s="315"/>
      <c r="ELI147" s="315"/>
      <c r="ELQ147" s="315"/>
      <c r="ELY147" s="315"/>
      <c r="EMG147" s="315"/>
      <c r="EMO147" s="315"/>
      <c r="EMW147" s="315"/>
      <c r="ENE147" s="315"/>
      <c r="ENM147" s="315"/>
      <c r="ENU147" s="315"/>
      <c r="EOC147" s="315"/>
      <c r="EOK147" s="315"/>
      <c r="EOS147" s="315"/>
      <c r="EPA147" s="315"/>
      <c r="EPI147" s="315"/>
      <c r="EPQ147" s="315"/>
      <c r="EPY147" s="315"/>
      <c r="EQG147" s="315"/>
      <c r="EQO147" s="315"/>
      <c r="EQW147" s="315"/>
      <c r="ERE147" s="315"/>
      <c r="ERM147" s="315"/>
      <c r="ERU147" s="315"/>
      <c r="ESC147" s="315"/>
      <c r="ESK147" s="315"/>
      <c r="ESS147" s="315"/>
      <c r="ETA147" s="315"/>
      <c r="ETI147" s="315"/>
      <c r="ETQ147" s="315"/>
      <c r="ETY147" s="315"/>
      <c r="EUG147" s="315"/>
      <c r="EUO147" s="315"/>
      <c r="EUW147" s="315"/>
      <c r="EVE147" s="315"/>
      <c r="EVM147" s="315"/>
      <c r="EVU147" s="315"/>
      <c r="EWC147" s="315"/>
      <c r="EWK147" s="315"/>
      <c r="EWS147" s="315"/>
      <c r="EXA147" s="315"/>
      <c r="EXI147" s="315"/>
      <c r="EXQ147" s="315"/>
      <c r="EXY147" s="315"/>
      <c r="EYG147" s="315"/>
      <c r="EYO147" s="315"/>
      <c r="EYW147" s="315"/>
      <c r="EZE147" s="315"/>
      <c r="EZM147" s="315"/>
      <c r="EZU147" s="315"/>
      <c r="FAC147" s="315"/>
      <c r="FAK147" s="315"/>
      <c r="FAS147" s="315"/>
      <c r="FBA147" s="315"/>
      <c r="FBI147" s="315"/>
      <c r="FBQ147" s="315"/>
      <c r="FBY147" s="315"/>
      <c r="FCG147" s="315"/>
      <c r="FCO147" s="315"/>
      <c r="FCW147" s="315"/>
      <c r="FDE147" s="315"/>
      <c r="FDM147" s="315"/>
      <c r="FDU147" s="315"/>
      <c r="FEC147" s="315"/>
      <c r="FEK147" s="315"/>
      <c r="FES147" s="315"/>
      <c r="FFA147" s="315"/>
      <c r="FFI147" s="315"/>
      <c r="FFQ147" s="315"/>
      <c r="FFY147" s="315"/>
      <c r="FGG147" s="315"/>
      <c r="FGO147" s="315"/>
      <c r="FGW147" s="315"/>
      <c r="FHE147" s="315"/>
      <c r="FHM147" s="315"/>
      <c r="FHU147" s="315"/>
      <c r="FIC147" s="315"/>
      <c r="FIK147" s="315"/>
      <c r="FIS147" s="315"/>
      <c r="FJA147" s="315"/>
      <c r="FJI147" s="315"/>
      <c r="FJQ147" s="315"/>
      <c r="FJY147" s="315"/>
      <c r="FKG147" s="315"/>
      <c r="FKO147" s="315"/>
      <c r="FKW147" s="315"/>
      <c r="FLE147" s="315"/>
      <c r="FLM147" s="315"/>
      <c r="FLU147" s="315"/>
      <c r="FMC147" s="315"/>
      <c r="FMK147" s="315"/>
      <c r="FMS147" s="315"/>
      <c r="FNA147" s="315"/>
      <c r="FNI147" s="315"/>
      <c r="FNQ147" s="315"/>
      <c r="FNY147" s="315"/>
      <c r="FOG147" s="315"/>
      <c r="FOO147" s="315"/>
      <c r="FOW147" s="315"/>
      <c r="FPE147" s="315"/>
      <c r="FPM147" s="315"/>
      <c r="FPU147" s="315"/>
      <c r="FQC147" s="315"/>
      <c r="FQK147" s="315"/>
      <c r="FQS147" s="315"/>
      <c r="FRA147" s="315"/>
      <c r="FRI147" s="315"/>
      <c r="FRQ147" s="315"/>
      <c r="FRY147" s="315"/>
      <c r="FSG147" s="315"/>
      <c r="FSO147" s="315"/>
      <c r="FSW147" s="315"/>
      <c r="FTE147" s="315"/>
      <c r="FTM147" s="315"/>
      <c r="FTU147" s="315"/>
      <c r="FUC147" s="315"/>
      <c r="FUK147" s="315"/>
      <c r="FUS147" s="315"/>
      <c r="FVA147" s="315"/>
      <c r="FVI147" s="315"/>
      <c r="FVQ147" s="315"/>
      <c r="FVY147" s="315"/>
      <c r="FWG147" s="315"/>
      <c r="FWO147" s="315"/>
      <c r="FWW147" s="315"/>
      <c r="FXE147" s="315"/>
      <c r="FXM147" s="315"/>
      <c r="FXU147" s="315"/>
      <c r="FYC147" s="315"/>
      <c r="FYK147" s="315"/>
      <c r="FYS147" s="315"/>
      <c r="FZA147" s="315"/>
      <c r="FZI147" s="315"/>
      <c r="FZQ147" s="315"/>
      <c r="FZY147" s="315"/>
      <c r="GAG147" s="315"/>
      <c r="GAO147" s="315"/>
      <c r="GAW147" s="315"/>
      <c r="GBE147" s="315"/>
      <c r="GBM147" s="315"/>
      <c r="GBU147" s="315"/>
      <c r="GCC147" s="315"/>
      <c r="GCK147" s="315"/>
      <c r="GCS147" s="315"/>
      <c r="GDA147" s="315"/>
      <c r="GDI147" s="315"/>
      <c r="GDQ147" s="315"/>
      <c r="GDY147" s="315"/>
      <c r="GEG147" s="315"/>
      <c r="GEO147" s="315"/>
      <c r="GEW147" s="315"/>
      <c r="GFE147" s="315"/>
      <c r="GFM147" s="315"/>
      <c r="GFU147" s="315"/>
      <c r="GGC147" s="315"/>
      <c r="GGK147" s="315"/>
      <c r="GGS147" s="315"/>
      <c r="GHA147" s="315"/>
      <c r="GHI147" s="315"/>
      <c r="GHQ147" s="315"/>
      <c r="GHY147" s="315"/>
      <c r="GIG147" s="315"/>
      <c r="GIO147" s="315"/>
      <c r="GIW147" s="315"/>
      <c r="GJE147" s="315"/>
      <c r="GJM147" s="315"/>
      <c r="GJU147" s="315"/>
      <c r="GKC147" s="315"/>
      <c r="GKK147" s="315"/>
      <c r="GKS147" s="315"/>
      <c r="GLA147" s="315"/>
      <c r="GLI147" s="315"/>
      <c r="GLQ147" s="315"/>
      <c r="GLY147" s="315"/>
      <c r="GMG147" s="315"/>
      <c r="GMO147" s="315"/>
      <c r="GMW147" s="315"/>
      <c r="GNE147" s="315"/>
      <c r="GNM147" s="315"/>
      <c r="GNU147" s="315"/>
      <c r="GOC147" s="315"/>
      <c r="GOK147" s="315"/>
      <c r="GOS147" s="315"/>
      <c r="GPA147" s="315"/>
      <c r="GPI147" s="315"/>
      <c r="GPQ147" s="315"/>
      <c r="GPY147" s="315"/>
      <c r="GQG147" s="315"/>
      <c r="GQO147" s="315"/>
      <c r="GQW147" s="315"/>
      <c r="GRE147" s="315"/>
      <c r="GRM147" s="315"/>
      <c r="GRU147" s="315"/>
      <c r="GSC147" s="315"/>
      <c r="GSK147" s="315"/>
      <c r="GSS147" s="315"/>
      <c r="GTA147" s="315"/>
      <c r="GTI147" s="315"/>
      <c r="GTQ147" s="315"/>
      <c r="GTY147" s="315"/>
      <c r="GUG147" s="315"/>
      <c r="GUO147" s="315"/>
      <c r="GUW147" s="315"/>
      <c r="GVE147" s="315"/>
      <c r="GVM147" s="315"/>
      <c r="GVU147" s="315"/>
      <c r="GWC147" s="315"/>
      <c r="GWK147" s="315"/>
      <c r="GWS147" s="315"/>
      <c r="GXA147" s="315"/>
      <c r="GXI147" s="315"/>
      <c r="GXQ147" s="315"/>
      <c r="GXY147" s="315"/>
      <c r="GYG147" s="315"/>
      <c r="GYO147" s="315"/>
      <c r="GYW147" s="315"/>
      <c r="GZE147" s="315"/>
      <c r="GZM147" s="315"/>
      <c r="GZU147" s="315"/>
      <c r="HAC147" s="315"/>
      <c r="HAK147" s="315"/>
      <c r="HAS147" s="315"/>
      <c r="HBA147" s="315"/>
      <c r="HBI147" s="315"/>
      <c r="HBQ147" s="315"/>
      <c r="HBY147" s="315"/>
      <c r="HCG147" s="315"/>
      <c r="HCO147" s="315"/>
      <c r="HCW147" s="315"/>
      <c r="HDE147" s="315"/>
      <c r="HDM147" s="315"/>
      <c r="HDU147" s="315"/>
      <c r="HEC147" s="315"/>
      <c r="HEK147" s="315"/>
      <c r="HES147" s="315"/>
      <c r="HFA147" s="315"/>
      <c r="HFI147" s="315"/>
      <c r="HFQ147" s="315"/>
      <c r="HFY147" s="315"/>
      <c r="HGG147" s="315"/>
      <c r="HGO147" s="315"/>
      <c r="HGW147" s="315"/>
      <c r="HHE147" s="315"/>
      <c r="HHM147" s="315"/>
      <c r="HHU147" s="315"/>
      <c r="HIC147" s="315"/>
      <c r="HIK147" s="315"/>
      <c r="HIS147" s="315"/>
      <c r="HJA147" s="315"/>
      <c r="HJI147" s="315"/>
      <c r="HJQ147" s="315"/>
      <c r="HJY147" s="315"/>
      <c r="HKG147" s="315"/>
      <c r="HKO147" s="315"/>
      <c r="HKW147" s="315"/>
      <c r="HLE147" s="315"/>
      <c r="HLM147" s="315"/>
      <c r="HLU147" s="315"/>
      <c r="HMC147" s="315"/>
      <c r="HMK147" s="315"/>
      <c r="HMS147" s="315"/>
      <c r="HNA147" s="315"/>
      <c r="HNI147" s="315"/>
      <c r="HNQ147" s="315"/>
      <c r="HNY147" s="315"/>
      <c r="HOG147" s="315"/>
      <c r="HOO147" s="315"/>
      <c r="HOW147" s="315"/>
      <c r="HPE147" s="315"/>
      <c r="HPM147" s="315"/>
      <c r="HPU147" s="315"/>
      <c r="HQC147" s="315"/>
      <c r="HQK147" s="315"/>
      <c r="HQS147" s="315"/>
      <c r="HRA147" s="315"/>
      <c r="HRI147" s="315"/>
      <c r="HRQ147" s="315"/>
      <c r="HRY147" s="315"/>
      <c r="HSG147" s="315"/>
      <c r="HSO147" s="315"/>
      <c r="HSW147" s="315"/>
      <c r="HTE147" s="315"/>
      <c r="HTM147" s="315"/>
      <c r="HTU147" s="315"/>
      <c r="HUC147" s="315"/>
      <c r="HUK147" s="315"/>
      <c r="HUS147" s="315"/>
      <c r="HVA147" s="315"/>
      <c r="HVI147" s="315"/>
      <c r="HVQ147" s="315"/>
      <c r="HVY147" s="315"/>
      <c r="HWG147" s="315"/>
      <c r="HWO147" s="315"/>
      <c r="HWW147" s="315"/>
      <c r="HXE147" s="315"/>
      <c r="HXM147" s="315"/>
      <c r="HXU147" s="315"/>
      <c r="HYC147" s="315"/>
      <c r="HYK147" s="315"/>
      <c r="HYS147" s="315"/>
      <c r="HZA147" s="315"/>
      <c r="HZI147" s="315"/>
      <c r="HZQ147" s="315"/>
      <c r="HZY147" s="315"/>
      <c r="IAG147" s="315"/>
      <c r="IAO147" s="315"/>
      <c r="IAW147" s="315"/>
      <c r="IBE147" s="315"/>
      <c r="IBM147" s="315"/>
      <c r="IBU147" s="315"/>
      <c r="ICC147" s="315"/>
      <c r="ICK147" s="315"/>
      <c r="ICS147" s="315"/>
      <c r="IDA147" s="315"/>
      <c r="IDI147" s="315"/>
      <c r="IDQ147" s="315"/>
      <c r="IDY147" s="315"/>
      <c r="IEG147" s="315"/>
      <c r="IEO147" s="315"/>
      <c r="IEW147" s="315"/>
      <c r="IFE147" s="315"/>
      <c r="IFM147" s="315"/>
      <c r="IFU147" s="315"/>
      <c r="IGC147" s="315"/>
      <c r="IGK147" s="315"/>
      <c r="IGS147" s="315"/>
      <c r="IHA147" s="315"/>
      <c r="IHI147" s="315"/>
      <c r="IHQ147" s="315"/>
      <c r="IHY147" s="315"/>
      <c r="IIG147" s="315"/>
      <c r="IIO147" s="315"/>
      <c r="IIW147" s="315"/>
      <c r="IJE147" s="315"/>
      <c r="IJM147" s="315"/>
      <c r="IJU147" s="315"/>
      <c r="IKC147" s="315"/>
      <c r="IKK147" s="315"/>
      <c r="IKS147" s="315"/>
      <c r="ILA147" s="315"/>
      <c r="ILI147" s="315"/>
      <c r="ILQ147" s="315"/>
      <c r="ILY147" s="315"/>
      <c r="IMG147" s="315"/>
      <c r="IMO147" s="315"/>
      <c r="IMW147" s="315"/>
      <c r="INE147" s="315"/>
      <c r="INM147" s="315"/>
      <c r="INU147" s="315"/>
      <c r="IOC147" s="315"/>
      <c r="IOK147" s="315"/>
      <c r="IOS147" s="315"/>
      <c r="IPA147" s="315"/>
      <c r="IPI147" s="315"/>
      <c r="IPQ147" s="315"/>
      <c r="IPY147" s="315"/>
      <c r="IQG147" s="315"/>
      <c r="IQO147" s="315"/>
      <c r="IQW147" s="315"/>
      <c r="IRE147" s="315"/>
      <c r="IRM147" s="315"/>
      <c r="IRU147" s="315"/>
      <c r="ISC147" s="315"/>
      <c r="ISK147" s="315"/>
      <c r="ISS147" s="315"/>
      <c r="ITA147" s="315"/>
      <c r="ITI147" s="315"/>
      <c r="ITQ147" s="315"/>
      <c r="ITY147" s="315"/>
      <c r="IUG147" s="315"/>
      <c r="IUO147" s="315"/>
      <c r="IUW147" s="315"/>
      <c r="IVE147" s="315"/>
      <c r="IVM147" s="315"/>
      <c r="IVU147" s="315"/>
      <c r="IWC147" s="315"/>
      <c r="IWK147" s="315"/>
      <c r="IWS147" s="315"/>
      <c r="IXA147" s="315"/>
      <c r="IXI147" s="315"/>
      <c r="IXQ147" s="315"/>
      <c r="IXY147" s="315"/>
      <c r="IYG147" s="315"/>
      <c r="IYO147" s="315"/>
      <c r="IYW147" s="315"/>
      <c r="IZE147" s="315"/>
      <c r="IZM147" s="315"/>
      <c r="IZU147" s="315"/>
      <c r="JAC147" s="315"/>
      <c r="JAK147" s="315"/>
      <c r="JAS147" s="315"/>
      <c r="JBA147" s="315"/>
      <c r="JBI147" s="315"/>
      <c r="JBQ147" s="315"/>
      <c r="JBY147" s="315"/>
      <c r="JCG147" s="315"/>
      <c r="JCO147" s="315"/>
      <c r="JCW147" s="315"/>
      <c r="JDE147" s="315"/>
      <c r="JDM147" s="315"/>
      <c r="JDU147" s="315"/>
      <c r="JEC147" s="315"/>
      <c r="JEK147" s="315"/>
      <c r="JES147" s="315"/>
      <c r="JFA147" s="315"/>
      <c r="JFI147" s="315"/>
      <c r="JFQ147" s="315"/>
      <c r="JFY147" s="315"/>
      <c r="JGG147" s="315"/>
      <c r="JGO147" s="315"/>
      <c r="JGW147" s="315"/>
      <c r="JHE147" s="315"/>
      <c r="JHM147" s="315"/>
      <c r="JHU147" s="315"/>
      <c r="JIC147" s="315"/>
      <c r="JIK147" s="315"/>
      <c r="JIS147" s="315"/>
      <c r="JJA147" s="315"/>
      <c r="JJI147" s="315"/>
      <c r="JJQ147" s="315"/>
      <c r="JJY147" s="315"/>
      <c r="JKG147" s="315"/>
      <c r="JKO147" s="315"/>
      <c r="JKW147" s="315"/>
      <c r="JLE147" s="315"/>
      <c r="JLM147" s="315"/>
      <c r="JLU147" s="315"/>
      <c r="JMC147" s="315"/>
      <c r="JMK147" s="315"/>
      <c r="JMS147" s="315"/>
      <c r="JNA147" s="315"/>
      <c r="JNI147" s="315"/>
      <c r="JNQ147" s="315"/>
      <c r="JNY147" s="315"/>
      <c r="JOG147" s="315"/>
      <c r="JOO147" s="315"/>
      <c r="JOW147" s="315"/>
      <c r="JPE147" s="315"/>
      <c r="JPM147" s="315"/>
      <c r="JPU147" s="315"/>
      <c r="JQC147" s="315"/>
      <c r="JQK147" s="315"/>
      <c r="JQS147" s="315"/>
      <c r="JRA147" s="315"/>
      <c r="JRI147" s="315"/>
      <c r="JRQ147" s="315"/>
      <c r="JRY147" s="315"/>
      <c r="JSG147" s="315"/>
      <c r="JSO147" s="315"/>
      <c r="JSW147" s="315"/>
      <c r="JTE147" s="315"/>
      <c r="JTM147" s="315"/>
      <c r="JTU147" s="315"/>
      <c r="JUC147" s="315"/>
      <c r="JUK147" s="315"/>
      <c r="JUS147" s="315"/>
      <c r="JVA147" s="315"/>
      <c r="JVI147" s="315"/>
      <c r="JVQ147" s="315"/>
      <c r="JVY147" s="315"/>
      <c r="JWG147" s="315"/>
      <c r="JWO147" s="315"/>
      <c r="JWW147" s="315"/>
      <c r="JXE147" s="315"/>
      <c r="JXM147" s="315"/>
      <c r="JXU147" s="315"/>
      <c r="JYC147" s="315"/>
      <c r="JYK147" s="315"/>
      <c r="JYS147" s="315"/>
      <c r="JZA147" s="315"/>
      <c r="JZI147" s="315"/>
      <c r="JZQ147" s="315"/>
      <c r="JZY147" s="315"/>
      <c r="KAG147" s="315"/>
      <c r="KAO147" s="315"/>
      <c r="KAW147" s="315"/>
      <c r="KBE147" s="315"/>
      <c r="KBM147" s="315"/>
      <c r="KBU147" s="315"/>
      <c r="KCC147" s="315"/>
      <c r="KCK147" s="315"/>
      <c r="KCS147" s="315"/>
      <c r="KDA147" s="315"/>
      <c r="KDI147" s="315"/>
      <c r="KDQ147" s="315"/>
      <c r="KDY147" s="315"/>
      <c r="KEG147" s="315"/>
      <c r="KEO147" s="315"/>
      <c r="KEW147" s="315"/>
      <c r="KFE147" s="315"/>
      <c r="KFM147" s="315"/>
      <c r="KFU147" s="315"/>
      <c r="KGC147" s="315"/>
      <c r="KGK147" s="315"/>
      <c r="KGS147" s="315"/>
      <c r="KHA147" s="315"/>
      <c r="KHI147" s="315"/>
      <c r="KHQ147" s="315"/>
      <c r="KHY147" s="315"/>
      <c r="KIG147" s="315"/>
      <c r="KIO147" s="315"/>
      <c r="KIW147" s="315"/>
      <c r="KJE147" s="315"/>
      <c r="KJM147" s="315"/>
      <c r="KJU147" s="315"/>
      <c r="KKC147" s="315"/>
      <c r="KKK147" s="315"/>
      <c r="KKS147" s="315"/>
      <c r="KLA147" s="315"/>
      <c r="KLI147" s="315"/>
      <c r="KLQ147" s="315"/>
      <c r="KLY147" s="315"/>
      <c r="KMG147" s="315"/>
      <c r="KMO147" s="315"/>
      <c r="KMW147" s="315"/>
      <c r="KNE147" s="315"/>
      <c r="KNM147" s="315"/>
      <c r="KNU147" s="315"/>
      <c r="KOC147" s="315"/>
      <c r="KOK147" s="315"/>
      <c r="KOS147" s="315"/>
      <c r="KPA147" s="315"/>
      <c r="KPI147" s="315"/>
      <c r="KPQ147" s="315"/>
      <c r="KPY147" s="315"/>
      <c r="KQG147" s="315"/>
      <c r="KQO147" s="315"/>
      <c r="KQW147" s="315"/>
      <c r="KRE147" s="315"/>
      <c r="KRM147" s="315"/>
      <c r="KRU147" s="315"/>
      <c r="KSC147" s="315"/>
      <c r="KSK147" s="315"/>
      <c r="KSS147" s="315"/>
      <c r="KTA147" s="315"/>
      <c r="KTI147" s="315"/>
      <c r="KTQ147" s="315"/>
      <c r="KTY147" s="315"/>
      <c r="KUG147" s="315"/>
      <c r="KUO147" s="315"/>
      <c r="KUW147" s="315"/>
      <c r="KVE147" s="315"/>
      <c r="KVM147" s="315"/>
      <c r="KVU147" s="315"/>
      <c r="KWC147" s="315"/>
      <c r="KWK147" s="315"/>
      <c r="KWS147" s="315"/>
      <c r="KXA147" s="315"/>
      <c r="KXI147" s="315"/>
      <c r="KXQ147" s="315"/>
      <c r="KXY147" s="315"/>
      <c r="KYG147" s="315"/>
      <c r="KYO147" s="315"/>
      <c r="KYW147" s="315"/>
      <c r="KZE147" s="315"/>
      <c r="KZM147" s="315"/>
      <c r="KZU147" s="315"/>
      <c r="LAC147" s="315"/>
      <c r="LAK147" s="315"/>
      <c r="LAS147" s="315"/>
      <c r="LBA147" s="315"/>
      <c r="LBI147" s="315"/>
      <c r="LBQ147" s="315"/>
      <c r="LBY147" s="315"/>
      <c r="LCG147" s="315"/>
      <c r="LCO147" s="315"/>
      <c r="LCW147" s="315"/>
      <c r="LDE147" s="315"/>
      <c r="LDM147" s="315"/>
      <c r="LDU147" s="315"/>
      <c r="LEC147" s="315"/>
      <c r="LEK147" s="315"/>
      <c r="LES147" s="315"/>
      <c r="LFA147" s="315"/>
      <c r="LFI147" s="315"/>
      <c r="LFQ147" s="315"/>
      <c r="LFY147" s="315"/>
      <c r="LGG147" s="315"/>
      <c r="LGO147" s="315"/>
      <c r="LGW147" s="315"/>
      <c r="LHE147" s="315"/>
      <c r="LHM147" s="315"/>
      <c r="LHU147" s="315"/>
      <c r="LIC147" s="315"/>
      <c r="LIK147" s="315"/>
      <c r="LIS147" s="315"/>
      <c r="LJA147" s="315"/>
      <c r="LJI147" s="315"/>
      <c r="LJQ147" s="315"/>
      <c r="LJY147" s="315"/>
      <c r="LKG147" s="315"/>
      <c r="LKO147" s="315"/>
      <c r="LKW147" s="315"/>
      <c r="LLE147" s="315"/>
      <c r="LLM147" s="315"/>
      <c r="LLU147" s="315"/>
      <c r="LMC147" s="315"/>
      <c r="LMK147" s="315"/>
      <c r="LMS147" s="315"/>
      <c r="LNA147" s="315"/>
      <c r="LNI147" s="315"/>
      <c r="LNQ147" s="315"/>
      <c r="LNY147" s="315"/>
      <c r="LOG147" s="315"/>
      <c r="LOO147" s="315"/>
      <c r="LOW147" s="315"/>
      <c r="LPE147" s="315"/>
      <c r="LPM147" s="315"/>
      <c r="LPU147" s="315"/>
      <c r="LQC147" s="315"/>
      <c r="LQK147" s="315"/>
      <c r="LQS147" s="315"/>
      <c r="LRA147" s="315"/>
      <c r="LRI147" s="315"/>
      <c r="LRQ147" s="315"/>
      <c r="LRY147" s="315"/>
      <c r="LSG147" s="315"/>
      <c r="LSO147" s="315"/>
      <c r="LSW147" s="315"/>
      <c r="LTE147" s="315"/>
      <c r="LTM147" s="315"/>
      <c r="LTU147" s="315"/>
      <c r="LUC147" s="315"/>
      <c r="LUK147" s="315"/>
      <c r="LUS147" s="315"/>
      <c r="LVA147" s="315"/>
      <c r="LVI147" s="315"/>
      <c r="LVQ147" s="315"/>
      <c r="LVY147" s="315"/>
      <c r="LWG147" s="315"/>
      <c r="LWO147" s="315"/>
      <c r="LWW147" s="315"/>
      <c r="LXE147" s="315"/>
      <c r="LXM147" s="315"/>
      <c r="LXU147" s="315"/>
      <c r="LYC147" s="315"/>
      <c r="LYK147" s="315"/>
      <c r="LYS147" s="315"/>
      <c r="LZA147" s="315"/>
      <c r="LZI147" s="315"/>
      <c r="LZQ147" s="315"/>
      <c r="LZY147" s="315"/>
      <c r="MAG147" s="315"/>
      <c r="MAO147" s="315"/>
      <c r="MAW147" s="315"/>
      <c r="MBE147" s="315"/>
      <c r="MBM147" s="315"/>
      <c r="MBU147" s="315"/>
      <c r="MCC147" s="315"/>
      <c r="MCK147" s="315"/>
      <c r="MCS147" s="315"/>
      <c r="MDA147" s="315"/>
      <c r="MDI147" s="315"/>
      <c r="MDQ147" s="315"/>
      <c r="MDY147" s="315"/>
      <c r="MEG147" s="315"/>
      <c r="MEO147" s="315"/>
      <c r="MEW147" s="315"/>
      <c r="MFE147" s="315"/>
      <c r="MFM147" s="315"/>
      <c r="MFU147" s="315"/>
      <c r="MGC147" s="315"/>
      <c r="MGK147" s="315"/>
      <c r="MGS147" s="315"/>
      <c r="MHA147" s="315"/>
      <c r="MHI147" s="315"/>
      <c r="MHQ147" s="315"/>
      <c r="MHY147" s="315"/>
      <c r="MIG147" s="315"/>
      <c r="MIO147" s="315"/>
      <c r="MIW147" s="315"/>
      <c r="MJE147" s="315"/>
      <c r="MJM147" s="315"/>
      <c r="MJU147" s="315"/>
      <c r="MKC147" s="315"/>
      <c r="MKK147" s="315"/>
      <c r="MKS147" s="315"/>
      <c r="MLA147" s="315"/>
      <c r="MLI147" s="315"/>
      <c r="MLQ147" s="315"/>
      <c r="MLY147" s="315"/>
      <c r="MMG147" s="315"/>
      <c r="MMO147" s="315"/>
      <c r="MMW147" s="315"/>
      <c r="MNE147" s="315"/>
      <c r="MNM147" s="315"/>
      <c r="MNU147" s="315"/>
      <c r="MOC147" s="315"/>
      <c r="MOK147" s="315"/>
      <c r="MOS147" s="315"/>
      <c r="MPA147" s="315"/>
      <c r="MPI147" s="315"/>
      <c r="MPQ147" s="315"/>
      <c r="MPY147" s="315"/>
      <c r="MQG147" s="315"/>
      <c r="MQO147" s="315"/>
      <c r="MQW147" s="315"/>
      <c r="MRE147" s="315"/>
      <c r="MRM147" s="315"/>
      <c r="MRU147" s="315"/>
      <c r="MSC147" s="315"/>
      <c r="MSK147" s="315"/>
      <c r="MSS147" s="315"/>
      <c r="MTA147" s="315"/>
      <c r="MTI147" s="315"/>
      <c r="MTQ147" s="315"/>
      <c r="MTY147" s="315"/>
      <c r="MUG147" s="315"/>
      <c r="MUO147" s="315"/>
      <c r="MUW147" s="315"/>
      <c r="MVE147" s="315"/>
      <c r="MVM147" s="315"/>
      <c r="MVU147" s="315"/>
      <c r="MWC147" s="315"/>
      <c r="MWK147" s="315"/>
      <c r="MWS147" s="315"/>
      <c r="MXA147" s="315"/>
      <c r="MXI147" s="315"/>
      <c r="MXQ147" s="315"/>
      <c r="MXY147" s="315"/>
      <c r="MYG147" s="315"/>
      <c r="MYO147" s="315"/>
      <c r="MYW147" s="315"/>
      <c r="MZE147" s="315"/>
      <c r="MZM147" s="315"/>
      <c r="MZU147" s="315"/>
      <c r="NAC147" s="315"/>
      <c r="NAK147" s="315"/>
      <c r="NAS147" s="315"/>
      <c r="NBA147" s="315"/>
      <c r="NBI147" s="315"/>
      <c r="NBQ147" s="315"/>
      <c r="NBY147" s="315"/>
      <c r="NCG147" s="315"/>
      <c r="NCO147" s="315"/>
      <c r="NCW147" s="315"/>
      <c r="NDE147" s="315"/>
      <c r="NDM147" s="315"/>
      <c r="NDU147" s="315"/>
      <c r="NEC147" s="315"/>
      <c r="NEK147" s="315"/>
      <c r="NES147" s="315"/>
      <c r="NFA147" s="315"/>
      <c r="NFI147" s="315"/>
      <c r="NFQ147" s="315"/>
      <c r="NFY147" s="315"/>
      <c r="NGG147" s="315"/>
      <c r="NGO147" s="315"/>
      <c r="NGW147" s="315"/>
      <c r="NHE147" s="315"/>
      <c r="NHM147" s="315"/>
      <c r="NHU147" s="315"/>
      <c r="NIC147" s="315"/>
      <c r="NIK147" s="315"/>
      <c r="NIS147" s="315"/>
      <c r="NJA147" s="315"/>
      <c r="NJI147" s="315"/>
      <c r="NJQ147" s="315"/>
      <c r="NJY147" s="315"/>
      <c r="NKG147" s="315"/>
      <c r="NKO147" s="315"/>
      <c r="NKW147" s="315"/>
      <c r="NLE147" s="315"/>
      <c r="NLM147" s="315"/>
      <c r="NLU147" s="315"/>
      <c r="NMC147" s="315"/>
      <c r="NMK147" s="315"/>
      <c r="NMS147" s="315"/>
      <c r="NNA147" s="315"/>
      <c r="NNI147" s="315"/>
      <c r="NNQ147" s="315"/>
      <c r="NNY147" s="315"/>
      <c r="NOG147" s="315"/>
      <c r="NOO147" s="315"/>
      <c r="NOW147" s="315"/>
      <c r="NPE147" s="315"/>
      <c r="NPM147" s="315"/>
      <c r="NPU147" s="315"/>
      <c r="NQC147" s="315"/>
      <c r="NQK147" s="315"/>
      <c r="NQS147" s="315"/>
      <c r="NRA147" s="315"/>
      <c r="NRI147" s="315"/>
      <c r="NRQ147" s="315"/>
      <c r="NRY147" s="315"/>
      <c r="NSG147" s="315"/>
      <c r="NSO147" s="315"/>
      <c r="NSW147" s="315"/>
      <c r="NTE147" s="315"/>
      <c r="NTM147" s="315"/>
      <c r="NTU147" s="315"/>
      <c r="NUC147" s="315"/>
      <c r="NUK147" s="315"/>
      <c r="NUS147" s="315"/>
      <c r="NVA147" s="315"/>
      <c r="NVI147" s="315"/>
      <c r="NVQ147" s="315"/>
      <c r="NVY147" s="315"/>
      <c r="NWG147" s="315"/>
      <c r="NWO147" s="315"/>
      <c r="NWW147" s="315"/>
      <c r="NXE147" s="315"/>
      <c r="NXM147" s="315"/>
      <c r="NXU147" s="315"/>
      <c r="NYC147" s="315"/>
      <c r="NYK147" s="315"/>
      <c r="NYS147" s="315"/>
      <c r="NZA147" s="315"/>
      <c r="NZI147" s="315"/>
      <c r="NZQ147" s="315"/>
      <c r="NZY147" s="315"/>
      <c r="OAG147" s="315"/>
      <c r="OAO147" s="315"/>
      <c r="OAW147" s="315"/>
      <c r="OBE147" s="315"/>
      <c r="OBM147" s="315"/>
      <c r="OBU147" s="315"/>
      <c r="OCC147" s="315"/>
      <c r="OCK147" s="315"/>
      <c r="OCS147" s="315"/>
      <c r="ODA147" s="315"/>
      <c r="ODI147" s="315"/>
      <c r="ODQ147" s="315"/>
      <c r="ODY147" s="315"/>
      <c r="OEG147" s="315"/>
      <c r="OEO147" s="315"/>
      <c r="OEW147" s="315"/>
      <c r="OFE147" s="315"/>
      <c r="OFM147" s="315"/>
      <c r="OFU147" s="315"/>
      <c r="OGC147" s="315"/>
      <c r="OGK147" s="315"/>
      <c r="OGS147" s="315"/>
      <c r="OHA147" s="315"/>
      <c r="OHI147" s="315"/>
      <c r="OHQ147" s="315"/>
      <c r="OHY147" s="315"/>
      <c r="OIG147" s="315"/>
      <c r="OIO147" s="315"/>
      <c r="OIW147" s="315"/>
      <c r="OJE147" s="315"/>
      <c r="OJM147" s="315"/>
      <c r="OJU147" s="315"/>
      <c r="OKC147" s="315"/>
      <c r="OKK147" s="315"/>
      <c r="OKS147" s="315"/>
      <c r="OLA147" s="315"/>
      <c r="OLI147" s="315"/>
      <c r="OLQ147" s="315"/>
      <c r="OLY147" s="315"/>
      <c r="OMG147" s="315"/>
      <c r="OMO147" s="315"/>
      <c r="OMW147" s="315"/>
      <c r="ONE147" s="315"/>
      <c r="ONM147" s="315"/>
      <c r="ONU147" s="315"/>
      <c r="OOC147" s="315"/>
      <c r="OOK147" s="315"/>
      <c r="OOS147" s="315"/>
      <c r="OPA147" s="315"/>
      <c r="OPI147" s="315"/>
      <c r="OPQ147" s="315"/>
      <c r="OPY147" s="315"/>
      <c r="OQG147" s="315"/>
      <c r="OQO147" s="315"/>
      <c r="OQW147" s="315"/>
      <c r="ORE147" s="315"/>
      <c r="ORM147" s="315"/>
      <c r="ORU147" s="315"/>
      <c r="OSC147" s="315"/>
      <c r="OSK147" s="315"/>
      <c r="OSS147" s="315"/>
      <c r="OTA147" s="315"/>
      <c r="OTI147" s="315"/>
      <c r="OTQ147" s="315"/>
      <c r="OTY147" s="315"/>
      <c r="OUG147" s="315"/>
      <c r="OUO147" s="315"/>
      <c r="OUW147" s="315"/>
      <c r="OVE147" s="315"/>
      <c r="OVM147" s="315"/>
      <c r="OVU147" s="315"/>
      <c r="OWC147" s="315"/>
      <c r="OWK147" s="315"/>
      <c r="OWS147" s="315"/>
      <c r="OXA147" s="315"/>
      <c r="OXI147" s="315"/>
      <c r="OXQ147" s="315"/>
      <c r="OXY147" s="315"/>
      <c r="OYG147" s="315"/>
      <c r="OYO147" s="315"/>
      <c r="OYW147" s="315"/>
      <c r="OZE147" s="315"/>
      <c r="OZM147" s="315"/>
      <c r="OZU147" s="315"/>
      <c r="PAC147" s="315"/>
      <c r="PAK147" s="315"/>
      <c r="PAS147" s="315"/>
      <c r="PBA147" s="315"/>
      <c r="PBI147" s="315"/>
      <c r="PBQ147" s="315"/>
      <c r="PBY147" s="315"/>
      <c r="PCG147" s="315"/>
      <c r="PCO147" s="315"/>
      <c r="PCW147" s="315"/>
      <c r="PDE147" s="315"/>
      <c r="PDM147" s="315"/>
      <c r="PDU147" s="315"/>
      <c r="PEC147" s="315"/>
      <c r="PEK147" s="315"/>
      <c r="PES147" s="315"/>
      <c r="PFA147" s="315"/>
      <c r="PFI147" s="315"/>
      <c r="PFQ147" s="315"/>
      <c r="PFY147" s="315"/>
      <c r="PGG147" s="315"/>
      <c r="PGO147" s="315"/>
      <c r="PGW147" s="315"/>
      <c r="PHE147" s="315"/>
      <c r="PHM147" s="315"/>
      <c r="PHU147" s="315"/>
      <c r="PIC147" s="315"/>
      <c r="PIK147" s="315"/>
      <c r="PIS147" s="315"/>
      <c r="PJA147" s="315"/>
      <c r="PJI147" s="315"/>
      <c r="PJQ147" s="315"/>
      <c r="PJY147" s="315"/>
      <c r="PKG147" s="315"/>
      <c r="PKO147" s="315"/>
      <c r="PKW147" s="315"/>
      <c r="PLE147" s="315"/>
      <c r="PLM147" s="315"/>
      <c r="PLU147" s="315"/>
      <c r="PMC147" s="315"/>
      <c r="PMK147" s="315"/>
      <c r="PMS147" s="315"/>
      <c r="PNA147" s="315"/>
      <c r="PNI147" s="315"/>
      <c r="PNQ147" s="315"/>
      <c r="PNY147" s="315"/>
      <c r="POG147" s="315"/>
      <c r="POO147" s="315"/>
      <c r="POW147" s="315"/>
      <c r="PPE147" s="315"/>
      <c r="PPM147" s="315"/>
      <c r="PPU147" s="315"/>
      <c r="PQC147" s="315"/>
      <c r="PQK147" s="315"/>
      <c r="PQS147" s="315"/>
      <c r="PRA147" s="315"/>
      <c r="PRI147" s="315"/>
      <c r="PRQ147" s="315"/>
      <c r="PRY147" s="315"/>
      <c r="PSG147" s="315"/>
      <c r="PSO147" s="315"/>
      <c r="PSW147" s="315"/>
      <c r="PTE147" s="315"/>
      <c r="PTM147" s="315"/>
      <c r="PTU147" s="315"/>
      <c r="PUC147" s="315"/>
      <c r="PUK147" s="315"/>
      <c r="PUS147" s="315"/>
      <c r="PVA147" s="315"/>
      <c r="PVI147" s="315"/>
      <c r="PVQ147" s="315"/>
      <c r="PVY147" s="315"/>
      <c r="PWG147" s="315"/>
      <c r="PWO147" s="315"/>
      <c r="PWW147" s="315"/>
      <c r="PXE147" s="315"/>
      <c r="PXM147" s="315"/>
      <c r="PXU147" s="315"/>
      <c r="PYC147" s="315"/>
      <c r="PYK147" s="315"/>
      <c r="PYS147" s="315"/>
      <c r="PZA147" s="315"/>
      <c r="PZI147" s="315"/>
      <c r="PZQ147" s="315"/>
      <c r="PZY147" s="315"/>
      <c r="QAG147" s="315"/>
      <c r="QAO147" s="315"/>
      <c r="QAW147" s="315"/>
      <c r="QBE147" s="315"/>
      <c r="QBM147" s="315"/>
      <c r="QBU147" s="315"/>
      <c r="QCC147" s="315"/>
      <c r="QCK147" s="315"/>
      <c r="QCS147" s="315"/>
      <c r="QDA147" s="315"/>
      <c r="QDI147" s="315"/>
      <c r="QDQ147" s="315"/>
      <c r="QDY147" s="315"/>
      <c r="QEG147" s="315"/>
      <c r="QEO147" s="315"/>
      <c r="QEW147" s="315"/>
      <c r="QFE147" s="315"/>
      <c r="QFM147" s="315"/>
      <c r="QFU147" s="315"/>
      <c r="QGC147" s="315"/>
      <c r="QGK147" s="315"/>
      <c r="QGS147" s="315"/>
      <c r="QHA147" s="315"/>
      <c r="QHI147" s="315"/>
      <c r="QHQ147" s="315"/>
      <c r="QHY147" s="315"/>
      <c r="QIG147" s="315"/>
      <c r="QIO147" s="315"/>
      <c r="QIW147" s="315"/>
      <c r="QJE147" s="315"/>
      <c r="QJM147" s="315"/>
      <c r="QJU147" s="315"/>
      <c r="QKC147" s="315"/>
      <c r="QKK147" s="315"/>
      <c r="QKS147" s="315"/>
      <c r="QLA147" s="315"/>
      <c r="QLI147" s="315"/>
      <c r="QLQ147" s="315"/>
      <c r="QLY147" s="315"/>
      <c r="QMG147" s="315"/>
      <c r="QMO147" s="315"/>
      <c r="QMW147" s="315"/>
      <c r="QNE147" s="315"/>
      <c r="QNM147" s="315"/>
      <c r="QNU147" s="315"/>
      <c r="QOC147" s="315"/>
      <c r="QOK147" s="315"/>
      <c r="QOS147" s="315"/>
      <c r="QPA147" s="315"/>
      <c r="QPI147" s="315"/>
      <c r="QPQ147" s="315"/>
      <c r="QPY147" s="315"/>
      <c r="QQG147" s="315"/>
      <c r="QQO147" s="315"/>
      <c r="QQW147" s="315"/>
      <c r="QRE147" s="315"/>
      <c r="QRM147" s="315"/>
      <c r="QRU147" s="315"/>
      <c r="QSC147" s="315"/>
      <c r="QSK147" s="315"/>
      <c r="QSS147" s="315"/>
      <c r="QTA147" s="315"/>
      <c r="QTI147" s="315"/>
      <c r="QTQ147" s="315"/>
      <c r="QTY147" s="315"/>
      <c r="QUG147" s="315"/>
      <c r="QUO147" s="315"/>
      <c r="QUW147" s="315"/>
      <c r="QVE147" s="315"/>
      <c r="QVM147" s="315"/>
      <c r="QVU147" s="315"/>
      <c r="QWC147" s="315"/>
      <c r="QWK147" s="315"/>
      <c r="QWS147" s="315"/>
      <c r="QXA147" s="315"/>
      <c r="QXI147" s="315"/>
      <c r="QXQ147" s="315"/>
      <c r="QXY147" s="315"/>
      <c r="QYG147" s="315"/>
      <c r="QYO147" s="315"/>
      <c r="QYW147" s="315"/>
      <c r="QZE147" s="315"/>
      <c r="QZM147" s="315"/>
      <c r="QZU147" s="315"/>
      <c r="RAC147" s="315"/>
      <c r="RAK147" s="315"/>
      <c r="RAS147" s="315"/>
      <c r="RBA147" s="315"/>
      <c r="RBI147" s="315"/>
      <c r="RBQ147" s="315"/>
      <c r="RBY147" s="315"/>
      <c r="RCG147" s="315"/>
      <c r="RCO147" s="315"/>
      <c r="RCW147" s="315"/>
      <c r="RDE147" s="315"/>
      <c r="RDM147" s="315"/>
      <c r="RDU147" s="315"/>
      <c r="REC147" s="315"/>
      <c r="REK147" s="315"/>
      <c r="RES147" s="315"/>
      <c r="RFA147" s="315"/>
      <c r="RFI147" s="315"/>
      <c r="RFQ147" s="315"/>
      <c r="RFY147" s="315"/>
      <c r="RGG147" s="315"/>
      <c r="RGO147" s="315"/>
      <c r="RGW147" s="315"/>
      <c r="RHE147" s="315"/>
      <c r="RHM147" s="315"/>
      <c r="RHU147" s="315"/>
      <c r="RIC147" s="315"/>
      <c r="RIK147" s="315"/>
      <c r="RIS147" s="315"/>
      <c r="RJA147" s="315"/>
      <c r="RJI147" s="315"/>
      <c r="RJQ147" s="315"/>
      <c r="RJY147" s="315"/>
      <c r="RKG147" s="315"/>
      <c r="RKO147" s="315"/>
      <c r="RKW147" s="315"/>
      <c r="RLE147" s="315"/>
      <c r="RLM147" s="315"/>
      <c r="RLU147" s="315"/>
      <c r="RMC147" s="315"/>
      <c r="RMK147" s="315"/>
      <c r="RMS147" s="315"/>
      <c r="RNA147" s="315"/>
      <c r="RNI147" s="315"/>
      <c r="RNQ147" s="315"/>
      <c r="RNY147" s="315"/>
      <c r="ROG147" s="315"/>
      <c r="ROO147" s="315"/>
      <c r="ROW147" s="315"/>
      <c r="RPE147" s="315"/>
      <c r="RPM147" s="315"/>
      <c r="RPU147" s="315"/>
      <c r="RQC147" s="315"/>
      <c r="RQK147" s="315"/>
      <c r="RQS147" s="315"/>
      <c r="RRA147" s="315"/>
      <c r="RRI147" s="315"/>
      <c r="RRQ147" s="315"/>
      <c r="RRY147" s="315"/>
      <c r="RSG147" s="315"/>
      <c r="RSO147" s="315"/>
      <c r="RSW147" s="315"/>
      <c r="RTE147" s="315"/>
      <c r="RTM147" s="315"/>
      <c r="RTU147" s="315"/>
      <c r="RUC147" s="315"/>
      <c r="RUK147" s="315"/>
      <c r="RUS147" s="315"/>
      <c r="RVA147" s="315"/>
      <c r="RVI147" s="315"/>
      <c r="RVQ147" s="315"/>
      <c r="RVY147" s="315"/>
      <c r="RWG147" s="315"/>
      <c r="RWO147" s="315"/>
      <c r="RWW147" s="315"/>
      <c r="RXE147" s="315"/>
      <c r="RXM147" s="315"/>
      <c r="RXU147" s="315"/>
      <c r="RYC147" s="315"/>
      <c r="RYK147" s="315"/>
      <c r="RYS147" s="315"/>
      <c r="RZA147" s="315"/>
      <c r="RZI147" s="315"/>
      <c r="RZQ147" s="315"/>
      <c r="RZY147" s="315"/>
      <c r="SAG147" s="315"/>
      <c r="SAO147" s="315"/>
      <c r="SAW147" s="315"/>
      <c r="SBE147" s="315"/>
      <c r="SBM147" s="315"/>
      <c r="SBU147" s="315"/>
      <c r="SCC147" s="315"/>
      <c r="SCK147" s="315"/>
      <c r="SCS147" s="315"/>
      <c r="SDA147" s="315"/>
      <c r="SDI147" s="315"/>
      <c r="SDQ147" s="315"/>
      <c r="SDY147" s="315"/>
      <c r="SEG147" s="315"/>
      <c r="SEO147" s="315"/>
      <c r="SEW147" s="315"/>
      <c r="SFE147" s="315"/>
      <c r="SFM147" s="315"/>
      <c r="SFU147" s="315"/>
      <c r="SGC147" s="315"/>
      <c r="SGK147" s="315"/>
      <c r="SGS147" s="315"/>
      <c r="SHA147" s="315"/>
      <c r="SHI147" s="315"/>
      <c r="SHQ147" s="315"/>
      <c r="SHY147" s="315"/>
      <c r="SIG147" s="315"/>
      <c r="SIO147" s="315"/>
      <c r="SIW147" s="315"/>
      <c r="SJE147" s="315"/>
      <c r="SJM147" s="315"/>
      <c r="SJU147" s="315"/>
      <c r="SKC147" s="315"/>
      <c r="SKK147" s="315"/>
      <c r="SKS147" s="315"/>
      <c r="SLA147" s="315"/>
      <c r="SLI147" s="315"/>
      <c r="SLQ147" s="315"/>
      <c r="SLY147" s="315"/>
      <c r="SMG147" s="315"/>
      <c r="SMO147" s="315"/>
      <c r="SMW147" s="315"/>
      <c r="SNE147" s="315"/>
      <c r="SNM147" s="315"/>
      <c r="SNU147" s="315"/>
      <c r="SOC147" s="315"/>
      <c r="SOK147" s="315"/>
      <c r="SOS147" s="315"/>
      <c r="SPA147" s="315"/>
      <c r="SPI147" s="315"/>
      <c r="SPQ147" s="315"/>
      <c r="SPY147" s="315"/>
      <c r="SQG147" s="315"/>
      <c r="SQO147" s="315"/>
      <c r="SQW147" s="315"/>
      <c r="SRE147" s="315"/>
      <c r="SRM147" s="315"/>
      <c r="SRU147" s="315"/>
      <c r="SSC147" s="315"/>
      <c r="SSK147" s="315"/>
      <c r="SSS147" s="315"/>
      <c r="STA147" s="315"/>
      <c r="STI147" s="315"/>
      <c r="STQ147" s="315"/>
      <c r="STY147" s="315"/>
      <c r="SUG147" s="315"/>
      <c r="SUO147" s="315"/>
      <c r="SUW147" s="315"/>
      <c r="SVE147" s="315"/>
      <c r="SVM147" s="315"/>
      <c r="SVU147" s="315"/>
      <c r="SWC147" s="315"/>
      <c r="SWK147" s="315"/>
      <c r="SWS147" s="315"/>
      <c r="SXA147" s="315"/>
      <c r="SXI147" s="315"/>
      <c r="SXQ147" s="315"/>
      <c r="SXY147" s="315"/>
      <c r="SYG147" s="315"/>
      <c r="SYO147" s="315"/>
      <c r="SYW147" s="315"/>
      <c r="SZE147" s="315"/>
      <c r="SZM147" s="315"/>
      <c r="SZU147" s="315"/>
      <c r="TAC147" s="315"/>
      <c r="TAK147" s="315"/>
      <c r="TAS147" s="315"/>
      <c r="TBA147" s="315"/>
      <c r="TBI147" s="315"/>
      <c r="TBQ147" s="315"/>
      <c r="TBY147" s="315"/>
      <c r="TCG147" s="315"/>
      <c r="TCO147" s="315"/>
      <c r="TCW147" s="315"/>
      <c r="TDE147" s="315"/>
      <c r="TDM147" s="315"/>
      <c r="TDU147" s="315"/>
      <c r="TEC147" s="315"/>
      <c r="TEK147" s="315"/>
      <c r="TES147" s="315"/>
      <c r="TFA147" s="315"/>
      <c r="TFI147" s="315"/>
      <c r="TFQ147" s="315"/>
      <c r="TFY147" s="315"/>
      <c r="TGG147" s="315"/>
      <c r="TGO147" s="315"/>
      <c r="TGW147" s="315"/>
      <c r="THE147" s="315"/>
      <c r="THM147" s="315"/>
      <c r="THU147" s="315"/>
      <c r="TIC147" s="315"/>
      <c r="TIK147" s="315"/>
      <c r="TIS147" s="315"/>
      <c r="TJA147" s="315"/>
      <c r="TJI147" s="315"/>
      <c r="TJQ147" s="315"/>
      <c r="TJY147" s="315"/>
      <c r="TKG147" s="315"/>
      <c r="TKO147" s="315"/>
      <c r="TKW147" s="315"/>
      <c r="TLE147" s="315"/>
      <c r="TLM147" s="315"/>
      <c r="TLU147" s="315"/>
      <c r="TMC147" s="315"/>
      <c r="TMK147" s="315"/>
      <c r="TMS147" s="315"/>
      <c r="TNA147" s="315"/>
      <c r="TNI147" s="315"/>
      <c r="TNQ147" s="315"/>
      <c r="TNY147" s="315"/>
      <c r="TOG147" s="315"/>
      <c r="TOO147" s="315"/>
      <c r="TOW147" s="315"/>
      <c r="TPE147" s="315"/>
      <c r="TPM147" s="315"/>
      <c r="TPU147" s="315"/>
      <c r="TQC147" s="315"/>
      <c r="TQK147" s="315"/>
      <c r="TQS147" s="315"/>
      <c r="TRA147" s="315"/>
      <c r="TRI147" s="315"/>
      <c r="TRQ147" s="315"/>
      <c r="TRY147" s="315"/>
      <c r="TSG147" s="315"/>
      <c r="TSO147" s="315"/>
      <c r="TSW147" s="315"/>
      <c r="TTE147" s="315"/>
      <c r="TTM147" s="315"/>
      <c r="TTU147" s="315"/>
      <c r="TUC147" s="315"/>
      <c r="TUK147" s="315"/>
      <c r="TUS147" s="315"/>
      <c r="TVA147" s="315"/>
      <c r="TVI147" s="315"/>
      <c r="TVQ147" s="315"/>
      <c r="TVY147" s="315"/>
      <c r="TWG147" s="315"/>
      <c r="TWO147" s="315"/>
      <c r="TWW147" s="315"/>
      <c r="TXE147" s="315"/>
      <c r="TXM147" s="315"/>
      <c r="TXU147" s="315"/>
      <c r="TYC147" s="315"/>
      <c r="TYK147" s="315"/>
      <c r="TYS147" s="315"/>
      <c r="TZA147" s="315"/>
      <c r="TZI147" s="315"/>
      <c r="TZQ147" s="315"/>
      <c r="TZY147" s="315"/>
      <c r="UAG147" s="315"/>
      <c r="UAO147" s="315"/>
      <c r="UAW147" s="315"/>
      <c r="UBE147" s="315"/>
      <c r="UBM147" s="315"/>
      <c r="UBU147" s="315"/>
      <c r="UCC147" s="315"/>
      <c r="UCK147" s="315"/>
      <c r="UCS147" s="315"/>
      <c r="UDA147" s="315"/>
      <c r="UDI147" s="315"/>
      <c r="UDQ147" s="315"/>
      <c r="UDY147" s="315"/>
      <c r="UEG147" s="315"/>
      <c r="UEO147" s="315"/>
      <c r="UEW147" s="315"/>
      <c r="UFE147" s="315"/>
      <c r="UFM147" s="315"/>
      <c r="UFU147" s="315"/>
      <c r="UGC147" s="315"/>
      <c r="UGK147" s="315"/>
      <c r="UGS147" s="315"/>
      <c r="UHA147" s="315"/>
      <c r="UHI147" s="315"/>
      <c r="UHQ147" s="315"/>
      <c r="UHY147" s="315"/>
      <c r="UIG147" s="315"/>
      <c r="UIO147" s="315"/>
      <c r="UIW147" s="315"/>
      <c r="UJE147" s="315"/>
      <c r="UJM147" s="315"/>
      <c r="UJU147" s="315"/>
      <c r="UKC147" s="315"/>
      <c r="UKK147" s="315"/>
      <c r="UKS147" s="315"/>
      <c r="ULA147" s="315"/>
      <c r="ULI147" s="315"/>
      <c r="ULQ147" s="315"/>
      <c r="ULY147" s="315"/>
      <c r="UMG147" s="315"/>
      <c r="UMO147" s="315"/>
      <c r="UMW147" s="315"/>
      <c r="UNE147" s="315"/>
      <c r="UNM147" s="315"/>
      <c r="UNU147" s="315"/>
      <c r="UOC147" s="315"/>
      <c r="UOK147" s="315"/>
      <c r="UOS147" s="315"/>
      <c r="UPA147" s="315"/>
      <c r="UPI147" s="315"/>
      <c r="UPQ147" s="315"/>
      <c r="UPY147" s="315"/>
      <c r="UQG147" s="315"/>
      <c r="UQO147" s="315"/>
      <c r="UQW147" s="315"/>
      <c r="URE147" s="315"/>
      <c r="URM147" s="315"/>
      <c r="URU147" s="315"/>
      <c r="USC147" s="315"/>
      <c r="USK147" s="315"/>
      <c r="USS147" s="315"/>
      <c r="UTA147" s="315"/>
      <c r="UTI147" s="315"/>
      <c r="UTQ147" s="315"/>
      <c r="UTY147" s="315"/>
      <c r="UUG147" s="315"/>
      <c r="UUO147" s="315"/>
      <c r="UUW147" s="315"/>
      <c r="UVE147" s="315"/>
      <c r="UVM147" s="315"/>
      <c r="UVU147" s="315"/>
      <c r="UWC147" s="315"/>
      <c r="UWK147" s="315"/>
      <c r="UWS147" s="315"/>
      <c r="UXA147" s="315"/>
      <c r="UXI147" s="315"/>
      <c r="UXQ147" s="315"/>
      <c r="UXY147" s="315"/>
      <c r="UYG147" s="315"/>
      <c r="UYO147" s="315"/>
      <c r="UYW147" s="315"/>
      <c r="UZE147" s="315"/>
      <c r="UZM147" s="315"/>
      <c r="UZU147" s="315"/>
      <c r="VAC147" s="315"/>
      <c r="VAK147" s="315"/>
      <c r="VAS147" s="315"/>
      <c r="VBA147" s="315"/>
      <c r="VBI147" s="315"/>
      <c r="VBQ147" s="315"/>
      <c r="VBY147" s="315"/>
      <c r="VCG147" s="315"/>
      <c r="VCO147" s="315"/>
      <c r="VCW147" s="315"/>
      <c r="VDE147" s="315"/>
      <c r="VDM147" s="315"/>
      <c r="VDU147" s="315"/>
      <c r="VEC147" s="315"/>
      <c r="VEK147" s="315"/>
      <c r="VES147" s="315"/>
      <c r="VFA147" s="315"/>
      <c r="VFI147" s="315"/>
      <c r="VFQ147" s="315"/>
      <c r="VFY147" s="315"/>
      <c r="VGG147" s="315"/>
      <c r="VGO147" s="315"/>
      <c r="VGW147" s="315"/>
      <c r="VHE147" s="315"/>
      <c r="VHM147" s="315"/>
      <c r="VHU147" s="315"/>
      <c r="VIC147" s="315"/>
      <c r="VIK147" s="315"/>
      <c r="VIS147" s="315"/>
      <c r="VJA147" s="315"/>
      <c r="VJI147" s="315"/>
      <c r="VJQ147" s="315"/>
      <c r="VJY147" s="315"/>
      <c r="VKG147" s="315"/>
      <c r="VKO147" s="315"/>
      <c r="VKW147" s="315"/>
      <c r="VLE147" s="315"/>
      <c r="VLM147" s="315"/>
      <c r="VLU147" s="315"/>
      <c r="VMC147" s="315"/>
      <c r="VMK147" s="315"/>
      <c r="VMS147" s="315"/>
      <c r="VNA147" s="315"/>
      <c r="VNI147" s="315"/>
      <c r="VNQ147" s="315"/>
      <c r="VNY147" s="315"/>
      <c r="VOG147" s="315"/>
      <c r="VOO147" s="315"/>
      <c r="VOW147" s="315"/>
      <c r="VPE147" s="315"/>
      <c r="VPM147" s="315"/>
      <c r="VPU147" s="315"/>
      <c r="VQC147" s="315"/>
      <c r="VQK147" s="315"/>
      <c r="VQS147" s="315"/>
      <c r="VRA147" s="315"/>
      <c r="VRI147" s="315"/>
      <c r="VRQ147" s="315"/>
      <c r="VRY147" s="315"/>
      <c r="VSG147" s="315"/>
      <c r="VSO147" s="315"/>
      <c r="VSW147" s="315"/>
      <c r="VTE147" s="315"/>
      <c r="VTM147" s="315"/>
      <c r="VTU147" s="315"/>
      <c r="VUC147" s="315"/>
      <c r="VUK147" s="315"/>
      <c r="VUS147" s="315"/>
      <c r="VVA147" s="315"/>
      <c r="VVI147" s="315"/>
      <c r="VVQ147" s="315"/>
      <c r="VVY147" s="315"/>
      <c r="VWG147" s="315"/>
      <c r="VWO147" s="315"/>
      <c r="VWW147" s="315"/>
      <c r="VXE147" s="315"/>
      <c r="VXM147" s="315"/>
      <c r="VXU147" s="315"/>
      <c r="VYC147" s="315"/>
      <c r="VYK147" s="315"/>
      <c r="VYS147" s="315"/>
      <c r="VZA147" s="315"/>
      <c r="VZI147" s="315"/>
      <c r="VZQ147" s="315"/>
      <c r="VZY147" s="315"/>
      <c r="WAG147" s="315"/>
      <c r="WAO147" s="315"/>
      <c r="WAW147" s="315"/>
      <c r="WBE147" s="315"/>
      <c r="WBM147" s="315"/>
      <c r="WBU147" s="315"/>
      <c r="WCC147" s="315"/>
      <c r="WCK147" s="315"/>
      <c r="WCS147" s="315"/>
      <c r="WDA147" s="315"/>
      <c r="WDI147" s="315"/>
      <c r="WDQ147" s="315"/>
      <c r="WDY147" s="315"/>
      <c r="WEG147" s="315"/>
      <c r="WEO147" s="315"/>
      <c r="WEW147" s="315"/>
      <c r="WFE147" s="315"/>
      <c r="WFM147" s="315"/>
      <c r="WFU147" s="315"/>
      <c r="WGC147" s="315"/>
      <c r="WGK147" s="315"/>
      <c r="WGS147" s="315"/>
      <c r="WHA147" s="315"/>
      <c r="WHI147" s="315"/>
      <c r="WHQ147" s="315"/>
      <c r="WHY147" s="315"/>
      <c r="WIG147" s="315"/>
      <c r="WIO147" s="315"/>
      <c r="WIW147" s="315"/>
      <c r="WJE147" s="315"/>
      <c r="WJM147" s="315"/>
      <c r="WJU147" s="315"/>
      <c r="WKC147" s="315"/>
      <c r="WKK147" s="315"/>
      <c r="WKS147" s="315"/>
      <c r="WLA147" s="315"/>
      <c r="WLI147" s="315"/>
      <c r="WLQ147" s="315"/>
      <c r="WLY147" s="315"/>
      <c r="WMG147" s="315"/>
      <c r="WMO147" s="315"/>
      <c r="WMW147" s="315"/>
      <c r="WNE147" s="315"/>
      <c r="WNM147" s="315"/>
      <c r="WNU147" s="315"/>
      <c r="WOC147" s="315"/>
      <c r="WOK147" s="315"/>
      <c r="WOS147" s="315"/>
      <c r="WPA147" s="315"/>
      <c r="WPI147" s="315"/>
      <c r="WPQ147" s="315"/>
      <c r="WPY147" s="315"/>
      <c r="WQG147" s="315"/>
      <c r="WQO147" s="315"/>
      <c r="WQW147" s="315"/>
      <c r="WRE147" s="315"/>
      <c r="WRM147" s="315"/>
      <c r="WRU147" s="315"/>
      <c r="WSC147" s="315"/>
      <c r="WSK147" s="315"/>
      <c r="WSS147" s="315"/>
      <c r="WTA147" s="315"/>
      <c r="WTI147" s="315"/>
      <c r="WTQ147" s="315"/>
      <c r="WTY147" s="315"/>
      <c r="WUG147" s="315"/>
      <c r="WUO147" s="315"/>
      <c r="WUW147" s="315"/>
      <c r="WVE147" s="315"/>
      <c r="WVM147" s="315"/>
      <c r="WVU147" s="315"/>
      <c r="WWC147" s="315"/>
      <c r="WWK147" s="315"/>
      <c r="WWS147" s="315"/>
      <c r="WXA147" s="315"/>
      <c r="WXI147" s="315"/>
      <c r="WXQ147" s="315"/>
      <c r="WXY147" s="315"/>
      <c r="WYG147" s="315"/>
      <c r="WYO147" s="315"/>
      <c r="WYW147" s="315"/>
      <c r="WZE147" s="315"/>
      <c r="WZM147" s="315"/>
      <c r="WZU147" s="315"/>
      <c r="XAC147" s="315"/>
      <c r="XAK147" s="315"/>
      <c r="XAS147" s="315"/>
      <c r="XBA147" s="315"/>
      <c r="XBI147" s="315"/>
      <c r="XBQ147" s="315"/>
      <c r="XBY147" s="315"/>
      <c r="XCG147" s="315"/>
      <c r="XCO147" s="315"/>
      <c r="XCW147" s="315"/>
      <c r="XDE147" s="315"/>
      <c r="XDM147" s="315"/>
      <c r="XDU147" s="315"/>
      <c r="XEC147" s="315"/>
      <c r="XEK147" s="315"/>
      <c r="XES147" s="315"/>
      <c r="XFA147" s="315"/>
    </row>
    <row r="148" spans="1:1021 1029:2045 2053:3069 3077:4093 4101:5117 5125:6141 6149:7165 7173:8189 8197:9213 9221:10237 10245:11261 11269:12285 12293:13309 13317:14333 14341:15357 15365:16381" s="287" customFormat="1" ht="19.5" x14ac:dyDescent="0.3">
      <c r="A148" s="316"/>
      <c r="B148" s="131"/>
      <c r="C148" s="131"/>
      <c r="D148" s="131"/>
      <c r="E148" s="181"/>
      <c r="F148" s="181"/>
      <c r="G148" s="132"/>
      <c r="H148" s="132"/>
      <c r="I148" s="132"/>
      <c r="J148" s="132"/>
      <c r="K148" s="142"/>
      <c r="L148" s="142"/>
      <c r="M148" s="142" t="s">
        <v>284</v>
      </c>
      <c r="N148" s="101">
        <f>IF(D143="Direktimport utan omlastning",N146,IF(D143="Ej känt om omlastning sker",N146+N147,N146+N147))</f>
        <v>2.4878176507784175</v>
      </c>
      <c r="O148" s="142" t="s">
        <v>262</v>
      </c>
      <c r="P148" s="142" t="str">
        <f>IF(N148&lt;0.1,"Emissionerna understiger 0.1 g CO2eq/MJ","")</f>
        <v/>
      </c>
      <c r="Q148" s="142"/>
      <c r="U148" s="315"/>
      <c r="AC148" s="315"/>
      <c r="AK148" s="315"/>
      <c r="AS148" s="315"/>
      <c r="BA148" s="315"/>
      <c r="BI148" s="315"/>
      <c r="BQ148" s="315"/>
      <c r="BY148" s="315"/>
      <c r="CG148" s="315"/>
      <c r="CO148" s="315"/>
      <c r="CW148" s="315"/>
      <c r="DE148" s="315"/>
      <c r="DM148" s="315"/>
      <c r="DU148" s="315"/>
      <c r="EC148" s="315"/>
      <c r="EK148" s="315"/>
      <c r="ES148" s="315"/>
      <c r="FA148" s="315"/>
      <c r="FI148" s="315"/>
      <c r="FQ148" s="315"/>
      <c r="FY148" s="315"/>
      <c r="GG148" s="315"/>
      <c r="GO148" s="315"/>
      <c r="GW148" s="315"/>
      <c r="HE148" s="315"/>
      <c r="HM148" s="315"/>
      <c r="HU148" s="315"/>
      <c r="IC148" s="315"/>
      <c r="IK148" s="315"/>
      <c r="IS148" s="315"/>
      <c r="JA148" s="315"/>
      <c r="JI148" s="315"/>
      <c r="JQ148" s="315"/>
      <c r="JY148" s="315"/>
      <c r="KG148" s="315"/>
      <c r="KO148" s="315"/>
      <c r="KW148" s="315"/>
      <c r="LE148" s="315"/>
      <c r="LM148" s="315"/>
      <c r="LU148" s="315"/>
      <c r="MC148" s="315"/>
      <c r="MK148" s="315"/>
      <c r="MS148" s="315"/>
      <c r="NA148" s="315"/>
      <c r="NI148" s="315"/>
      <c r="NQ148" s="315"/>
      <c r="NY148" s="315"/>
      <c r="OG148" s="315"/>
      <c r="OO148" s="315"/>
      <c r="OW148" s="315"/>
      <c r="PE148" s="315"/>
      <c r="PM148" s="315"/>
      <c r="PU148" s="315"/>
      <c r="QC148" s="315"/>
      <c r="QK148" s="315"/>
      <c r="QS148" s="315"/>
      <c r="RA148" s="315"/>
      <c r="RI148" s="315"/>
      <c r="RQ148" s="315"/>
      <c r="RY148" s="315"/>
      <c r="SG148" s="315"/>
      <c r="SO148" s="315"/>
      <c r="SW148" s="315"/>
      <c r="TE148" s="315"/>
      <c r="TM148" s="315"/>
      <c r="TU148" s="315"/>
      <c r="UC148" s="315"/>
      <c r="UK148" s="315"/>
      <c r="US148" s="315"/>
      <c r="VA148" s="315"/>
      <c r="VI148" s="315"/>
      <c r="VQ148" s="315"/>
      <c r="VY148" s="315"/>
      <c r="WG148" s="315"/>
      <c r="WO148" s="315"/>
      <c r="WW148" s="315"/>
      <c r="XE148" s="315"/>
      <c r="XM148" s="315"/>
      <c r="XU148" s="315"/>
      <c r="YC148" s="315"/>
      <c r="YK148" s="315"/>
      <c r="YS148" s="315"/>
      <c r="ZA148" s="315"/>
      <c r="ZI148" s="315"/>
      <c r="ZQ148" s="315"/>
      <c r="ZY148" s="315"/>
      <c r="AAG148" s="315"/>
      <c r="AAO148" s="315"/>
      <c r="AAW148" s="315"/>
      <c r="ABE148" s="315"/>
      <c r="ABM148" s="315"/>
      <c r="ABU148" s="315"/>
      <c r="ACC148" s="315"/>
      <c r="ACK148" s="315"/>
      <c r="ACS148" s="315"/>
      <c r="ADA148" s="315"/>
      <c r="ADI148" s="315"/>
      <c r="ADQ148" s="315"/>
      <c r="ADY148" s="315"/>
      <c r="AEG148" s="315"/>
      <c r="AEO148" s="315"/>
      <c r="AEW148" s="315"/>
      <c r="AFE148" s="315"/>
      <c r="AFM148" s="315"/>
      <c r="AFU148" s="315"/>
      <c r="AGC148" s="315"/>
      <c r="AGK148" s="315"/>
      <c r="AGS148" s="315"/>
      <c r="AHA148" s="315"/>
      <c r="AHI148" s="315"/>
      <c r="AHQ148" s="315"/>
      <c r="AHY148" s="315"/>
      <c r="AIG148" s="315"/>
      <c r="AIO148" s="315"/>
      <c r="AIW148" s="315"/>
      <c r="AJE148" s="315"/>
      <c r="AJM148" s="315"/>
      <c r="AJU148" s="315"/>
      <c r="AKC148" s="315"/>
      <c r="AKK148" s="315"/>
      <c r="AKS148" s="315"/>
      <c r="ALA148" s="315"/>
      <c r="ALI148" s="315"/>
      <c r="ALQ148" s="315"/>
      <c r="ALY148" s="315"/>
      <c r="AMG148" s="315"/>
      <c r="AMO148" s="315"/>
      <c r="AMW148" s="315"/>
      <c r="ANE148" s="315"/>
      <c r="ANM148" s="315"/>
      <c r="ANU148" s="315"/>
      <c r="AOC148" s="315"/>
      <c r="AOK148" s="315"/>
      <c r="AOS148" s="315"/>
      <c r="APA148" s="315"/>
      <c r="API148" s="315"/>
      <c r="APQ148" s="315"/>
      <c r="APY148" s="315"/>
      <c r="AQG148" s="315"/>
      <c r="AQO148" s="315"/>
      <c r="AQW148" s="315"/>
      <c r="ARE148" s="315"/>
      <c r="ARM148" s="315"/>
      <c r="ARU148" s="315"/>
      <c r="ASC148" s="315"/>
      <c r="ASK148" s="315"/>
      <c r="ASS148" s="315"/>
      <c r="ATA148" s="315"/>
      <c r="ATI148" s="315"/>
      <c r="ATQ148" s="315"/>
      <c r="ATY148" s="315"/>
      <c r="AUG148" s="315"/>
      <c r="AUO148" s="315"/>
      <c r="AUW148" s="315"/>
      <c r="AVE148" s="315"/>
      <c r="AVM148" s="315"/>
      <c r="AVU148" s="315"/>
      <c r="AWC148" s="315"/>
      <c r="AWK148" s="315"/>
      <c r="AWS148" s="315"/>
      <c r="AXA148" s="315"/>
      <c r="AXI148" s="315"/>
      <c r="AXQ148" s="315"/>
      <c r="AXY148" s="315"/>
      <c r="AYG148" s="315"/>
      <c r="AYO148" s="315"/>
      <c r="AYW148" s="315"/>
      <c r="AZE148" s="315"/>
      <c r="AZM148" s="315"/>
      <c r="AZU148" s="315"/>
      <c r="BAC148" s="315"/>
      <c r="BAK148" s="315"/>
      <c r="BAS148" s="315"/>
      <c r="BBA148" s="315"/>
      <c r="BBI148" s="315"/>
      <c r="BBQ148" s="315"/>
      <c r="BBY148" s="315"/>
      <c r="BCG148" s="315"/>
      <c r="BCO148" s="315"/>
      <c r="BCW148" s="315"/>
      <c r="BDE148" s="315"/>
      <c r="BDM148" s="315"/>
      <c r="BDU148" s="315"/>
      <c r="BEC148" s="315"/>
      <c r="BEK148" s="315"/>
      <c r="BES148" s="315"/>
      <c r="BFA148" s="315"/>
      <c r="BFI148" s="315"/>
      <c r="BFQ148" s="315"/>
      <c r="BFY148" s="315"/>
      <c r="BGG148" s="315"/>
      <c r="BGO148" s="315"/>
      <c r="BGW148" s="315"/>
      <c r="BHE148" s="315"/>
      <c r="BHM148" s="315"/>
      <c r="BHU148" s="315"/>
      <c r="BIC148" s="315"/>
      <c r="BIK148" s="315"/>
      <c r="BIS148" s="315"/>
      <c r="BJA148" s="315"/>
      <c r="BJI148" s="315"/>
      <c r="BJQ148" s="315"/>
      <c r="BJY148" s="315"/>
      <c r="BKG148" s="315"/>
      <c r="BKO148" s="315"/>
      <c r="BKW148" s="315"/>
      <c r="BLE148" s="315"/>
      <c r="BLM148" s="315"/>
      <c r="BLU148" s="315"/>
      <c r="BMC148" s="315"/>
      <c r="BMK148" s="315"/>
      <c r="BMS148" s="315"/>
      <c r="BNA148" s="315"/>
      <c r="BNI148" s="315"/>
      <c r="BNQ148" s="315"/>
      <c r="BNY148" s="315"/>
      <c r="BOG148" s="315"/>
      <c r="BOO148" s="315"/>
      <c r="BOW148" s="315"/>
      <c r="BPE148" s="315"/>
      <c r="BPM148" s="315"/>
      <c r="BPU148" s="315"/>
      <c r="BQC148" s="315"/>
      <c r="BQK148" s="315"/>
      <c r="BQS148" s="315"/>
      <c r="BRA148" s="315"/>
      <c r="BRI148" s="315"/>
      <c r="BRQ148" s="315"/>
      <c r="BRY148" s="315"/>
      <c r="BSG148" s="315"/>
      <c r="BSO148" s="315"/>
      <c r="BSW148" s="315"/>
      <c r="BTE148" s="315"/>
      <c r="BTM148" s="315"/>
      <c r="BTU148" s="315"/>
      <c r="BUC148" s="315"/>
      <c r="BUK148" s="315"/>
      <c r="BUS148" s="315"/>
      <c r="BVA148" s="315"/>
      <c r="BVI148" s="315"/>
      <c r="BVQ148" s="315"/>
      <c r="BVY148" s="315"/>
      <c r="BWG148" s="315"/>
      <c r="BWO148" s="315"/>
      <c r="BWW148" s="315"/>
      <c r="BXE148" s="315"/>
      <c r="BXM148" s="315"/>
      <c r="BXU148" s="315"/>
      <c r="BYC148" s="315"/>
      <c r="BYK148" s="315"/>
      <c r="BYS148" s="315"/>
      <c r="BZA148" s="315"/>
      <c r="BZI148" s="315"/>
      <c r="BZQ148" s="315"/>
      <c r="BZY148" s="315"/>
      <c r="CAG148" s="315"/>
      <c r="CAO148" s="315"/>
      <c r="CAW148" s="315"/>
      <c r="CBE148" s="315"/>
      <c r="CBM148" s="315"/>
      <c r="CBU148" s="315"/>
      <c r="CCC148" s="315"/>
      <c r="CCK148" s="315"/>
      <c r="CCS148" s="315"/>
      <c r="CDA148" s="315"/>
      <c r="CDI148" s="315"/>
      <c r="CDQ148" s="315"/>
      <c r="CDY148" s="315"/>
      <c r="CEG148" s="315"/>
      <c r="CEO148" s="315"/>
      <c r="CEW148" s="315"/>
      <c r="CFE148" s="315"/>
      <c r="CFM148" s="315"/>
      <c r="CFU148" s="315"/>
      <c r="CGC148" s="315"/>
      <c r="CGK148" s="315"/>
      <c r="CGS148" s="315"/>
      <c r="CHA148" s="315"/>
      <c r="CHI148" s="315"/>
      <c r="CHQ148" s="315"/>
      <c r="CHY148" s="315"/>
      <c r="CIG148" s="315"/>
      <c r="CIO148" s="315"/>
      <c r="CIW148" s="315"/>
      <c r="CJE148" s="315"/>
      <c r="CJM148" s="315"/>
      <c r="CJU148" s="315"/>
      <c r="CKC148" s="315"/>
      <c r="CKK148" s="315"/>
      <c r="CKS148" s="315"/>
      <c r="CLA148" s="315"/>
      <c r="CLI148" s="315"/>
      <c r="CLQ148" s="315"/>
      <c r="CLY148" s="315"/>
      <c r="CMG148" s="315"/>
      <c r="CMO148" s="315"/>
      <c r="CMW148" s="315"/>
      <c r="CNE148" s="315"/>
      <c r="CNM148" s="315"/>
      <c r="CNU148" s="315"/>
      <c r="COC148" s="315"/>
      <c r="COK148" s="315"/>
      <c r="COS148" s="315"/>
      <c r="CPA148" s="315"/>
      <c r="CPI148" s="315"/>
      <c r="CPQ148" s="315"/>
      <c r="CPY148" s="315"/>
      <c r="CQG148" s="315"/>
      <c r="CQO148" s="315"/>
      <c r="CQW148" s="315"/>
      <c r="CRE148" s="315"/>
      <c r="CRM148" s="315"/>
      <c r="CRU148" s="315"/>
      <c r="CSC148" s="315"/>
      <c r="CSK148" s="315"/>
      <c r="CSS148" s="315"/>
      <c r="CTA148" s="315"/>
      <c r="CTI148" s="315"/>
      <c r="CTQ148" s="315"/>
      <c r="CTY148" s="315"/>
      <c r="CUG148" s="315"/>
      <c r="CUO148" s="315"/>
      <c r="CUW148" s="315"/>
      <c r="CVE148" s="315"/>
      <c r="CVM148" s="315"/>
      <c r="CVU148" s="315"/>
      <c r="CWC148" s="315"/>
      <c r="CWK148" s="315"/>
      <c r="CWS148" s="315"/>
      <c r="CXA148" s="315"/>
      <c r="CXI148" s="315"/>
      <c r="CXQ148" s="315"/>
      <c r="CXY148" s="315"/>
      <c r="CYG148" s="315"/>
      <c r="CYO148" s="315"/>
      <c r="CYW148" s="315"/>
      <c r="CZE148" s="315"/>
      <c r="CZM148" s="315"/>
      <c r="CZU148" s="315"/>
      <c r="DAC148" s="315"/>
      <c r="DAK148" s="315"/>
      <c r="DAS148" s="315"/>
      <c r="DBA148" s="315"/>
      <c r="DBI148" s="315"/>
      <c r="DBQ148" s="315"/>
      <c r="DBY148" s="315"/>
      <c r="DCG148" s="315"/>
      <c r="DCO148" s="315"/>
      <c r="DCW148" s="315"/>
      <c r="DDE148" s="315"/>
      <c r="DDM148" s="315"/>
      <c r="DDU148" s="315"/>
      <c r="DEC148" s="315"/>
      <c r="DEK148" s="315"/>
      <c r="DES148" s="315"/>
      <c r="DFA148" s="315"/>
      <c r="DFI148" s="315"/>
      <c r="DFQ148" s="315"/>
      <c r="DFY148" s="315"/>
      <c r="DGG148" s="315"/>
      <c r="DGO148" s="315"/>
      <c r="DGW148" s="315"/>
      <c r="DHE148" s="315"/>
      <c r="DHM148" s="315"/>
      <c r="DHU148" s="315"/>
      <c r="DIC148" s="315"/>
      <c r="DIK148" s="315"/>
      <c r="DIS148" s="315"/>
      <c r="DJA148" s="315"/>
      <c r="DJI148" s="315"/>
      <c r="DJQ148" s="315"/>
      <c r="DJY148" s="315"/>
      <c r="DKG148" s="315"/>
      <c r="DKO148" s="315"/>
      <c r="DKW148" s="315"/>
      <c r="DLE148" s="315"/>
      <c r="DLM148" s="315"/>
      <c r="DLU148" s="315"/>
      <c r="DMC148" s="315"/>
      <c r="DMK148" s="315"/>
      <c r="DMS148" s="315"/>
      <c r="DNA148" s="315"/>
      <c r="DNI148" s="315"/>
      <c r="DNQ148" s="315"/>
      <c r="DNY148" s="315"/>
      <c r="DOG148" s="315"/>
      <c r="DOO148" s="315"/>
      <c r="DOW148" s="315"/>
      <c r="DPE148" s="315"/>
      <c r="DPM148" s="315"/>
      <c r="DPU148" s="315"/>
      <c r="DQC148" s="315"/>
      <c r="DQK148" s="315"/>
      <c r="DQS148" s="315"/>
      <c r="DRA148" s="315"/>
      <c r="DRI148" s="315"/>
      <c r="DRQ148" s="315"/>
      <c r="DRY148" s="315"/>
      <c r="DSG148" s="315"/>
      <c r="DSO148" s="315"/>
      <c r="DSW148" s="315"/>
      <c r="DTE148" s="315"/>
      <c r="DTM148" s="315"/>
      <c r="DTU148" s="315"/>
      <c r="DUC148" s="315"/>
      <c r="DUK148" s="315"/>
      <c r="DUS148" s="315"/>
      <c r="DVA148" s="315"/>
      <c r="DVI148" s="315"/>
      <c r="DVQ148" s="315"/>
      <c r="DVY148" s="315"/>
      <c r="DWG148" s="315"/>
      <c r="DWO148" s="315"/>
      <c r="DWW148" s="315"/>
      <c r="DXE148" s="315"/>
      <c r="DXM148" s="315"/>
      <c r="DXU148" s="315"/>
      <c r="DYC148" s="315"/>
      <c r="DYK148" s="315"/>
      <c r="DYS148" s="315"/>
      <c r="DZA148" s="315"/>
      <c r="DZI148" s="315"/>
      <c r="DZQ148" s="315"/>
      <c r="DZY148" s="315"/>
      <c r="EAG148" s="315"/>
      <c r="EAO148" s="315"/>
      <c r="EAW148" s="315"/>
      <c r="EBE148" s="315"/>
      <c r="EBM148" s="315"/>
      <c r="EBU148" s="315"/>
      <c r="ECC148" s="315"/>
      <c r="ECK148" s="315"/>
      <c r="ECS148" s="315"/>
      <c r="EDA148" s="315"/>
      <c r="EDI148" s="315"/>
      <c r="EDQ148" s="315"/>
      <c r="EDY148" s="315"/>
      <c r="EEG148" s="315"/>
      <c r="EEO148" s="315"/>
      <c r="EEW148" s="315"/>
      <c r="EFE148" s="315"/>
      <c r="EFM148" s="315"/>
      <c r="EFU148" s="315"/>
      <c r="EGC148" s="315"/>
      <c r="EGK148" s="315"/>
      <c r="EGS148" s="315"/>
      <c r="EHA148" s="315"/>
      <c r="EHI148" s="315"/>
      <c r="EHQ148" s="315"/>
      <c r="EHY148" s="315"/>
      <c r="EIG148" s="315"/>
      <c r="EIO148" s="315"/>
      <c r="EIW148" s="315"/>
      <c r="EJE148" s="315"/>
      <c r="EJM148" s="315"/>
      <c r="EJU148" s="315"/>
      <c r="EKC148" s="315"/>
      <c r="EKK148" s="315"/>
      <c r="EKS148" s="315"/>
      <c r="ELA148" s="315"/>
      <c r="ELI148" s="315"/>
      <c r="ELQ148" s="315"/>
      <c r="ELY148" s="315"/>
      <c r="EMG148" s="315"/>
      <c r="EMO148" s="315"/>
      <c r="EMW148" s="315"/>
      <c r="ENE148" s="315"/>
      <c r="ENM148" s="315"/>
      <c r="ENU148" s="315"/>
      <c r="EOC148" s="315"/>
      <c r="EOK148" s="315"/>
      <c r="EOS148" s="315"/>
      <c r="EPA148" s="315"/>
      <c r="EPI148" s="315"/>
      <c r="EPQ148" s="315"/>
      <c r="EPY148" s="315"/>
      <c r="EQG148" s="315"/>
      <c r="EQO148" s="315"/>
      <c r="EQW148" s="315"/>
      <c r="ERE148" s="315"/>
      <c r="ERM148" s="315"/>
      <c r="ERU148" s="315"/>
      <c r="ESC148" s="315"/>
      <c r="ESK148" s="315"/>
      <c r="ESS148" s="315"/>
      <c r="ETA148" s="315"/>
      <c r="ETI148" s="315"/>
      <c r="ETQ148" s="315"/>
      <c r="ETY148" s="315"/>
      <c r="EUG148" s="315"/>
      <c r="EUO148" s="315"/>
      <c r="EUW148" s="315"/>
      <c r="EVE148" s="315"/>
      <c r="EVM148" s="315"/>
      <c r="EVU148" s="315"/>
      <c r="EWC148" s="315"/>
      <c r="EWK148" s="315"/>
      <c r="EWS148" s="315"/>
      <c r="EXA148" s="315"/>
      <c r="EXI148" s="315"/>
      <c r="EXQ148" s="315"/>
      <c r="EXY148" s="315"/>
      <c r="EYG148" s="315"/>
      <c r="EYO148" s="315"/>
      <c r="EYW148" s="315"/>
      <c r="EZE148" s="315"/>
      <c r="EZM148" s="315"/>
      <c r="EZU148" s="315"/>
      <c r="FAC148" s="315"/>
      <c r="FAK148" s="315"/>
      <c r="FAS148" s="315"/>
      <c r="FBA148" s="315"/>
      <c r="FBI148" s="315"/>
      <c r="FBQ148" s="315"/>
      <c r="FBY148" s="315"/>
      <c r="FCG148" s="315"/>
      <c r="FCO148" s="315"/>
      <c r="FCW148" s="315"/>
      <c r="FDE148" s="315"/>
      <c r="FDM148" s="315"/>
      <c r="FDU148" s="315"/>
      <c r="FEC148" s="315"/>
      <c r="FEK148" s="315"/>
      <c r="FES148" s="315"/>
      <c r="FFA148" s="315"/>
      <c r="FFI148" s="315"/>
      <c r="FFQ148" s="315"/>
      <c r="FFY148" s="315"/>
      <c r="FGG148" s="315"/>
      <c r="FGO148" s="315"/>
      <c r="FGW148" s="315"/>
      <c r="FHE148" s="315"/>
      <c r="FHM148" s="315"/>
      <c r="FHU148" s="315"/>
      <c r="FIC148" s="315"/>
      <c r="FIK148" s="315"/>
      <c r="FIS148" s="315"/>
      <c r="FJA148" s="315"/>
      <c r="FJI148" s="315"/>
      <c r="FJQ148" s="315"/>
      <c r="FJY148" s="315"/>
      <c r="FKG148" s="315"/>
      <c r="FKO148" s="315"/>
      <c r="FKW148" s="315"/>
      <c r="FLE148" s="315"/>
      <c r="FLM148" s="315"/>
      <c r="FLU148" s="315"/>
      <c r="FMC148" s="315"/>
      <c r="FMK148" s="315"/>
      <c r="FMS148" s="315"/>
      <c r="FNA148" s="315"/>
      <c r="FNI148" s="315"/>
      <c r="FNQ148" s="315"/>
      <c r="FNY148" s="315"/>
      <c r="FOG148" s="315"/>
      <c r="FOO148" s="315"/>
      <c r="FOW148" s="315"/>
      <c r="FPE148" s="315"/>
      <c r="FPM148" s="315"/>
      <c r="FPU148" s="315"/>
      <c r="FQC148" s="315"/>
      <c r="FQK148" s="315"/>
      <c r="FQS148" s="315"/>
      <c r="FRA148" s="315"/>
      <c r="FRI148" s="315"/>
      <c r="FRQ148" s="315"/>
      <c r="FRY148" s="315"/>
      <c r="FSG148" s="315"/>
      <c r="FSO148" s="315"/>
      <c r="FSW148" s="315"/>
      <c r="FTE148" s="315"/>
      <c r="FTM148" s="315"/>
      <c r="FTU148" s="315"/>
      <c r="FUC148" s="315"/>
      <c r="FUK148" s="315"/>
      <c r="FUS148" s="315"/>
      <c r="FVA148" s="315"/>
      <c r="FVI148" s="315"/>
      <c r="FVQ148" s="315"/>
      <c r="FVY148" s="315"/>
      <c r="FWG148" s="315"/>
      <c r="FWO148" s="315"/>
      <c r="FWW148" s="315"/>
      <c r="FXE148" s="315"/>
      <c r="FXM148" s="315"/>
      <c r="FXU148" s="315"/>
      <c r="FYC148" s="315"/>
      <c r="FYK148" s="315"/>
      <c r="FYS148" s="315"/>
      <c r="FZA148" s="315"/>
      <c r="FZI148" s="315"/>
      <c r="FZQ148" s="315"/>
      <c r="FZY148" s="315"/>
      <c r="GAG148" s="315"/>
      <c r="GAO148" s="315"/>
      <c r="GAW148" s="315"/>
      <c r="GBE148" s="315"/>
      <c r="GBM148" s="315"/>
      <c r="GBU148" s="315"/>
      <c r="GCC148" s="315"/>
      <c r="GCK148" s="315"/>
      <c r="GCS148" s="315"/>
      <c r="GDA148" s="315"/>
      <c r="GDI148" s="315"/>
      <c r="GDQ148" s="315"/>
      <c r="GDY148" s="315"/>
      <c r="GEG148" s="315"/>
      <c r="GEO148" s="315"/>
      <c r="GEW148" s="315"/>
      <c r="GFE148" s="315"/>
      <c r="GFM148" s="315"/>
      <c r="GFU148" s="315"/>
      <c r="GGC148" s="315"/>
      <c r="GGK148" s="315"/>
      <c r="GGS148" s="315"/>
      <c r="GHA148" s="315"/>
      <c r="GHI148" s="315"/>
      <c r="GHQ148" s="315"/>
      <c r="GHY148" s="315"/>
      <c r="GIG148" s="315"/>
      <c r="GIO148" s="315"/>
      <c r="GIW148" s="315"/>
      <c r="GJE148" s="315"/>
      <c r="GJM148" s="315"/>
      <c r="GJU148" s="315"/>
      <c r="GKC148" s="315"/>
      <c r="GKK148" s="315"/>
      <c r="GKS148" s="315"/>
      <c r="GLA148" s="315"/>
      <c r="GLI148" s="315"/>
      <c r="GLQ148" s="315"/>
      <c r="GLY148" s="315"/>
      <c r="GMG148" s="315"/>
      <c r="GMO148" s="315"/>
      <c r="GMW148" s="315"/>
      <c r="GNE148" s="315"/>
      <c r="GNM148" s="315"/>
      <c r="GNU148" s="315"/>
      <c r="GOC148" s="315"/>
      <c r="GOK148" s="315"/>
      <c r="GOS148" s="315"/>
      <c r="GPA148" s="315"/>
      <c r="GPI148" s="315"/>
      <c r="GPQ148" s="315"/>
      <c r="GPY148" s="315"/>
      <c r="GQG148" s="315"/>
      <c r="GQO148" s="315"/>
      <c r="GQW148" s="315"/>
      <c r="GRE148" s="315"/>
      <c r="GRM148" s="315"/>
      <c r="GRU148" s="315"/>
      <c r="GSC148" s="315"/>
      <c r="GSK148" s="315"/>
      <c r="GSS148" s="315"/>
      <c r="GTA148" s="315"/>
      <c r="GTI148" s="315"/>
      <c r="GTQ148" s="315"/>
      <c r="GTY148" s="315"/>
      <c r="GUG148" s="315"/>
      <c r="GUO148" s="315"/>
      <c r="GUW148" s="315"/>
      <c r="GVE148" s="315"/>
      <c r="GVM148" s="315"/>
      <c r="GVU148" s="315"/>
      <c r="GWC148" s="315"/>
      <c r="GWK148" s="315"/>
      <c r="GWS148" s="315"/>
      <c r="GXA148" s="315"/>
      <c r="GXI148" s="315"/>
      <c r="GXQ148" s="315"/>
      <c r="GXY148" s="315"/>
      <c r="GYG148" s="315"/>
      <c r="GYO148" s="315"/>
      <c r="GYW148" s="315"/>
      <c r="GZE148" s="315"/>
      <c r="GZM148" s="315"/>
      <c r="GZU148" s="315"/>
      <c r="HAC148" s="315"/>
      <c r="HAK148" s="315"/>
      <c r="HAS148" s="315"/>
      <c r="HBA148" s="315"/>
      <c r="HBI148" s="315"/>
      <c r="HBQ148" s="315"/>
      <c r="HBY148" s="315"/>
      <c r="HCG148" s="315"/>
      <c r="HCO148" s="315"/>
      <c r="HCW148" s="315"/>
      <c r="HDE148" s="315"/>
      <c r="HDM148" s="315"/>
      <c r="HDU148" s="315"/>
      <c r="HEC148" s="315"/>
      <c r="HEK148" s="315"/>
      <c r="HES148" s="315"/>
      <c r="HFA148" s="315"/>
      <c r="HFI148" s="315"/>
      <c r="HFQ148" s="315"/>
      <c r="HFY148" s="315"/>
      <c r="HGG148" s="315"/>
      <c r="HGO148" s="315"/>
      <c r="HGW148" s="315"/>
      <c r="HHE148" s="315"/>
      <c r="HHM148" s="315"/>
      <c r="HHU148" s="315"/>
      <c r="HIC148" s="315"/>
      <c r="HIK148" s="315"/>
      <c r="HIS148" s="315"/>
      <c r="HJA148" s="315"/>
      <c r="HJI148" s="315"/>
      <c r="HJQ148" s="315"/>
      <c r="HJY148" s="315"/>
      <c r="HKG148" s="315"/>
      <c r="HKO148" s="315"/>
      <c r="HKW148" s="315"/>
      <c r="HLE148" s="315"/>
      <c r="HLM148" s="315"/>
      <c r="HLU148" s="315"/>
      <c r="HMC148" s="315"/>
      <c r="HMK148" s="315"/>
      <c r="HMS148" s="315"/>
      <c r="HNA148" s="315"/>
      <c r="HNI148" s="315"/>
      <c r="HNQ148" s="315"/>
      <c r="HNY148" s="315"/>
      <c r="HOG148" s="315"/>
      <c r="HOO148" s="315"/>
      <c r="HOW148" s="315"/>
      <c r="HPE148" s="315"/>
      <c r="HPM148" s="315"/>
      <c r="HPU148" s="315"/>
      <c r="HQC148" s="315"/>
      <c r="HQK148" s="315"/>
      <c r="HQS148" s="315"/>
      <c r="HRA148" s="315"/>
      <c r="HRI148" s="315"/>
      <c r="HRQ148" s="315"/>
      <c r="HRY148" s="315"/>
      <c r="HSG148" s="315"/>
      <c r="HSO148" s="315"/>
      <c r="HSW148" s="315"/>
      <c r="HTE148" s="315"/>
      <c r="HTM148" s="315"/>
      <c r="HTU148" s="315"/>
      <c r="HUC148" s="315"/>
      <c r="HUK148" s="315"/>
      <c r="HUS148" s="315"/>
      <c r="HVA148" s="315"/>
      <c r="HVI148" s="315"/>
      <c r="HVQ148" s="315"/>
      <c r="HVY148" s="315"/>
      <c r="HWG148" s="315"/>
      <c r="HWO148" s="315"/>
      <c r="HWW148" s="315"/>
      <c r="HXE148" s="315"/>
      <c r="HXM148" s="315"/>
      <c r="HXU148" s="315"/>
      <c r="HYC148" s="315"/>
      <c r="HYK148" s="315"/>
      <c r="HYS148" s="315"/>
      <c r="HZA148" s="315"/>
      <c r="HZI148" s="315"/>
      <c r="HZQ148" s="315"/>
      <c r="HZY148" s="315"/>
      <c r="IAG148" s="315"/>
      <c r="IAO148" s="315"/>
      <c r="IAW148" s="315"/>
      <c r="IBE148" s="315"/>
      <c r="IBM148" s="315"/>
      <c r="IBU148" s="315"/>
      <c r="ICC148" s="315"/>
      <c r="ICK148" s="315"/>
      <c r="ICS148" s="315"/>
      <c r="IDA148" s="315"/>
      <c r="IDI148" s="315"/>
      <c r="IDQ148" s="315"/>
      <c r="IDY148" s="315"/>
      <c r="IEG148" s="315"/>
      <c r="IEO148" s="315"/>
      <c r="IEW148" s="315"/>
      <c r="IFE148" s="315"/>
      <c r="IFM148" s="315"/>
      <c r="IFU148" s="315"/>
      <c r="IGC148" s="315"/>
      <c r="IGK148" s="315"/>
      <c r="IGS148" s="315"/>
      <c r="IHA148" s="315"/>
      <c r="IHI148" s="315"/>
      <c r="IHQ148" s="315"/>
      <c r="IHY148" s="315"/>
      <c r="IIG148" s="315"/>
      <c r="IIO148" s="315"/>
      <c r="IIW148" s="315"/>
      <c r="IJE148" s="315"/>
      <c r="IJM148" s="315"/>
      <c r="IJU148" s="315"/>
      <c r="IKC148" s="315"/>
      <c r="IKK148" s="315"/>
      <c r="IKS148" s="315"/>
      <c r="ILA148" s="315"/>
      <c r="ILI148" s="315"/>
      <c r="ILQ148" s="315"/>
      <c r="ILY148" s="315"/>
      <c r="IMG148" s="315"/>
      <c r="IMO148" s="315"/>
      <c r="IMW148" s="315"/>
      <c r="INE148" s="315"/>
      <c r="INM148" s="315"/>
      <c r="INU148" s="315"/>
      <c r="IOC148" s="315"/>
      <c r="IOK148" s="315"/>
      <c r="IOS148" s="315"/>
      <c r="IPA148" s="315"/>
      <c r="IPI148" s="315"/>
      <c r="IPQ148" s="315"/>
      <c r="IPY148" s="315"/>
      <c r="IQG148" s="315"/>
      <c r="IQO148" s="315"/>
      <c r="IQW148" s="315"/>
      <c r="IRE148" s="315"/>
      <c r="IRM148" s="315"/>
      <c r="IRU148" s="315"/>
      <c r="ISC148" s="315"/>
      <c r="ISK148" s="315"/>
      <c r="ISS148" s="315"/>
      <c r="ITA148" s="315"/>
      <c r="ITI148" s="315"/>
      <c r="ITQ148" s="315"/>
      <c r="ITY148" s="315"/>
      <c r="IUG148" s="315"/>
      <c r="IUO148" s="315"/>
      <c r="IUW148" s="315"/>
      <c r="IVE148" s="315"/>
      <c r="IVM148" s="315"/>
      <c r="IVU148" s="315"/>
      <c r="IWC148" s="315"/>
      <c r="IWK148" s="315"/>
      <c r="IWS148" s="315"/>
      <c r="IXA148" s="315"/>
      <c r="IXI148" s="315"/>
      <c r="IXQ148" s="315"/>
      <c r="IXY148" s="315"/>
      <c r="IYG148" s="315"/>
      <c r="IYO148" s="315"/>
      <c r="IYW148" s="315"/>
      <c r="IZE148" s="315"/>
      <c r="IZM148" s="315"/>
      <c r="IZU148" s="315"/>
      <c r="JAC148" s="315"/>
      <c r="JAK148" s="315"/>
      <c r="JAS148" s="315"/>
      <c r="JBA148" s="315"/>
      <c r="JBI148" s="315"/>
      <c r="JBQ148" s="315"/>
      <c r="JBY148" s="315"/>
      <c r="JCG148" s="315"/>
      <c r="JCO148" s="315"/>
      <c r="JCW148" s="315"/>
      <c r="JDE148" s="315"/>
      <c r="JDM148" s="315"/>
      <c r="JDU148" s="315"/>
      <c r="JEC148" s="315"/>
      <c r="JEK148" s="315"/>
      <c r="JES148" s="315"/>
      <c r="JFA148" s="315"/>
      <c r="JFI148" s="315"/>
      <c r="JFQ148" s="315"/>
      <c r="JFY148" s="315"/>
      <c r="JGG148" s="315"/>
      <c r="JGO148" s="315"/>
      <c r="JGW148" s="315"/>
      <c r="JHE148" s="315"/>
      <c r="JHM148" s="315"/>
      <c r="JHU148" s="315"/>
      <c r="JIC148" s="315"/>
      <c r="JIK148" s="315"/>
      <c r="JIS148" s="315"/>
      <c r="JJA148" s="315"/>
      <c r="JJI148" s="315"/>
      <c r="JJQ148" s="315"/>
      <c r="JJY148" s="315"/>
      <c r="JKG148" s="315"/>
      <c r="JKO148" s="315"/>
      <c r="JKW148" s="315"/>
      <c r="JLE148" s="315"/>
      <c r="JLM148" s="315"/>
      <c r="JLU148" s="315"/>
      <c r="JMC148" s="315"/>
      <c r="JMK148" s="315"/>
      <c r="JMS148" s="315"/>
      <c r="JNA148" s="315"/>
      <c r="JNI148" s="315"/>
      <c r="JNQ148" s="315"/>
      <c r="JNY148" s="315"/>
      <c r="JOG148" s="315"/>
      <c r="JOO148" s="315"/>
      <c r="JOW148" s="315"/>
      <c r="JPE148" s="315"/>
      <c r="JPM148" s="315"/>
      <c r="JPU148" s="315"/>
      <c r="JQC148" s="315"/>
      <c r="JQK148" s="315"/>
      <c r="JQS148" s="315"/>
      <c r="JRA148" s="315"/>
      <c r="JRI148" s="315"/>
      <c r="JRQ148" s="315"/>
      <c r="JRY148" s="315"/>
      <c r="JSG148" s="315"/>
      <c r="JSO148" s="315"/>
      <c r="JSW148" s="315"/>
      <c r="JTE148" s="315"/>
      <c r="JTM148" s="315"/>
      <c r="JTU148" s="315"/>
      <c r="JUC148" s="315"/>
      <c r="JUK148" s="315"/>
      <c r="JUS148" s="315"/>
      <c r="JVA148" s="315"/>
      <c r="JVI148" s="315"/>
      <c r="JVQ148" s="315"/>
      <c r="JVY148" s="315"/>
      <c r="JWG148" s="315"/>
      <c r="JWO148" s="315"/>
      <c r="JWW148" s="315"/>
      <c r="JXE148" s="315"/>
      <c r="JXM148" s="315"/>
      <c r="JXU148" s="315"/>
      <c r="JYC148" s="315"/>
      <c r="JYK148" s="315"/>
      <c r="JYS148" s="315"/>
      <c r="JZA148" s="315"/>
      <c r="JZI148" s="315"/>
      <c r="JZQ148" s="315"/>
      <c r="JZY148" s="315"/>
      <c r="KAG148" s="315"/>
      <c r="KAO148" s="315"/>
      <c r="KAW148" s="315"/>
      <c r="KBE148" s="315"/>
      <c r="KBM148" s="315"/>
      <c r="KBU148" s="315"/>
      <c r="KCC148" s="315"/>
      <c r="KCK148" s="315"/>
      <c r="KCS148" s="315"/>
      <c r="KDA148" s="315"/>
      <c r="KDI148" s="315"/>
      <c r="KDQ148" s="315"/>
      <c r="KDY148" s="315"/>
      <c r="KEG148" s="315"/>
      <c r="KEO148" s="315"/>
      <c r="KEW148" s="315"/>
      <c r="KFE148" s="315"/>
      <c r="KFM148" s="315"/>
      <c r="KFU148" s="315"/>
      <c r="KGC148" s="315"/>
      <c r="KGK148" s="315"/>
      <c r="KGS148" s="315"/>
      <c r="KHA148" s="315"/>
      <c r="KHI148" s="315"/>
      <c r="KHQ148" s="315"/>
      <c r="KHY148" s="315"/>
      <c r="KIG148" s="315"/>
      <c r="KIO148" s="315"/>
      <c r="KIW148" s="315"/>
      <c r="KJE148" s="315"/>
      <c r="KJM148" s="315"/>
      <c r="KJU148" s="315"/>
      <c r="KKC148" s="315"/>
      <c r="KKK148" s="315"/>
      <c r="KKS148" s="315"/>
      <c r="KLA148" s="315"/>
      <c r="KLI148" s="315"/>
      <c r="KLQ148" s="315"/>
      <c r="KLY148" s="315"/>
      <c r="KMG148" s="315"/>
      <c r="KMO148" s="315"/>
      <c r="KMW148" s="315"/>
      <c r="KNE148" s="315"/>
      <c r="KNM148" s="315"/>
      <c r="KNU148" s="315"/>
      <c r="KOC148" s="315"/>
      <c r="KOK148" s="315"/>
      <c r="KOS148" s="315"/>
      <c r="KPA148" s="315"/>
      <c r="KPI148" s="315"/>
      <c r="KPQ148" s="315"/>
      <c r="KPY148" s="315"/>
      <c r="KQG148" s="315"/>
      <c r="KQO148" s="315"/>
      <c r="KQW148" s="315"/>
      <c r="KRE148" s="315"/>
      <c r="KRM148" s="315"/>
      <c r="KRU148" s="315"/>
      <c r="KSC148" s="315"/>
      <c r="KSK148" s="315"/>
      <c r="KSS148" s="315"/>
      <c r="KTA148" s="315"/>
      <c r="KTI148" s="315"/>
      <c r="KTQ148" s="315"/>
      <c r="KTY148" s="315"/>
      <c r="KUG148" s="315"/>
      <c r="KUO148" s="315"/>
      <c r="KUW148" s="315"/>
      <c r="KVE148" s="315"/>
      <c r="KVM148" s="315"/>
      <c r="KVU148" s="315"/>
      <c r="KWC148" s="315"/>
      <c r="KWK148" s="315"/>
      <c r="KWS148" s="315"/>
      <c r="KXA148" s="315"/>
      <c r="KXI148" s="315"/>
      <c r="KXQ148" s="315"/>
      <c r="KXY148" s="315"/>
      <c r="KYG148" s="315"/>
      <c r="KYO148" s="315"/>
      <c r="KYW148" s="315"/>
      <c r="KZE148" s="315"/>
      <c r="KZM148" s="315"/>
      <c r="KZU148" s="315"/>
      <c r="LAC148" s="315"/>
      <c r="LAK148" s="315"/>
      <c r="LAS148" s="315"/>
      <c r="LBA148" s="315"/>
      <c r="LBI148" s="315"/>
      <c r="LBQ148" s="315"/>
      <c r="LBY148" s="315"/>
      <c r="LCG148" s="315"/>
      <c r="LCO148" s="315"/>
      <c r="LCW148" s="315"/>
      <c r="LDE148" s="315"/>
      <c r="LDM148" s="315"/>
      <c r="LDU148" s="315"/>
      <c r="LEC148" s="315"/>
      <c r="LEK148" s="315"/>
      <c r="LES148" s="315"/>
      <c r="LFA148" s="315"/>
      <c r="LFI148" s="315"/>
      <c r="LFQ148" s="315"/>
      <c r="LFY148" s="315"/>
      <c r="LGG148" s="315"/>
      <c r="LGO148" s="315"/>
      <c r="LGW148" s="315"/>
      <c r="LHE148" s="315"/>
      <c r="LHM148" s="315"/>
      <c r="LHU148" s="315"/>
      <c r="LIC148" s="315"/>
      <c r="LIK148" s="315"/>
      <c r="LIS148" s="315"/>
      <c r="LJA148" s="315"/>
      <c r="LJI148" s="315"/>
      <c r="LJQ148" s="315"/>
      <c r="LJY148" s="315"/>
      <c r="LKG148" s="315"/>
      <c r="LKO148" s="315"/>
      <c r="LKW148" s="315"/>
      <c r="LLE148" s="315"/>
      <c r="LLM148" s="315"/>
      <c r="LLU148" s="315"/>
      <c r="LMC148" s="315"/>
      <c r="LMK148" s="315"/>
      <c r="LMS148" s="315"/>
      <c r="LNA148" s="315"/>
      <c r="LNI148" s="315"/>
      <c r="LNQ148" s="315"/>
      <c r="LNY148" s="315"/>
      <c r="LOG148" s="315"/>
      <c r="LOO148" s="315"/>
      <c r="LOW148" s="315"/>
      <c r="LPE148" s="315"/>
      <c r="LPM148" s="315"/>
      <c r="LPU148" s="315"/>
      <c r="LQC148" s="315"/>
      <c r="LQK148" s="315"/>
      <c r="LQS148" s="315"/>
      <c r="LRA148" s="315"/>
      <c r="LRI148" s="315"/>
      <c r="LRQ148" s="315"/>
      <c r="LRY148" s="315"/>
      <c r="LSG148" s="315"/>
      <c r="LSO148" s="315"/>
      <c r="LSW148" s="315"/>
      <c r="LTE148" s="315"/>
      <c r="LTM148" s="315"/>
      <c r="LTU148" s="315"/>
      <c r="LUC148" s="315"/>
      <c r="LUK148" s="315"/>
      <c r="LUS148" s="315"/>
      <c r="LVA148" s="315"/>
      <c r="LVI148" s="315"/>
      <c r="LVQ148" s="315"/>
      <c r="LVY148" s="315"/>
      <c r="LWG148" s="315"/>
      <c r="LWO148" s="315"/>
      <c r="LWW148" s="315"/>
      <c r="LXE148" s="315"/>
      <c r="LXM148" s="315"/>
      <c r="LXU148" s="315"/>
      <c r="LYC148" s="315"/>
      <c r="LYK148" s="315"/>
      <c r="LYS148" s="315"/>
      <c r="LZA148" s="315"/>
      <c r="LZI148" s="315"/>
      <c r="LZQ148" s="315"/>
      <c r="LZY148" s="315"/>
      <c r="MAG148" s="315"/>
      <c r="MAO148" s="315"/>
      <c r="MAW148" s="315"/>
      <c r="MBE148" s="315"/>
      <c r="MBM148" s="315"/>
      <c r="MBU148" s="315"/>
      <c r="MCC148" s="315"/>
      <c r="MCK148" s="315"/>
      <c r="MCS148" s="315"/>
      <c r="MDA148" s="315"/>
      <c r="MDI148" s="315"/>
      <c r="MDQ148" s="315"/>
      <c r="MDY148" s="315"/>
      <c r="MEG148" s="315"/>
      <c r="MEO148" s="315"/>
      <c r="MEW148" s="315"/>
      <c r="MFE148" s="315"/>
      <c r="MFM148" s="315"/>
      <c r="MFU148" s="315"/>
      <c r="MGC148" s="315"/>
      <c r="MGK148" s="315"/>
      <c r="MGS148" s="315"/>
      <c r="MHA148" s="315"/>
      <c r="MHI148" s="315"/>
      <c r="MHQ148" s="315"/>
      <c r="MHY148" s="315"/>
      <c r="MIG148" s="315"/>
      <c r="MIO148" s="315"/>
      <c r="MIW148" s="315"/>
      <c r="MJE148" s="315"/>
      <c r="MJM148" s="315"/>
      <c r="MJU148" s="315"/>
      <c r="MKC148" s="315"/>
      <c r="MKK148" s="315"/>
      <c r="MKS148" s="315"/>
      <c r="MLA148" s="315"/>
      <c r="MLI148" s="315"/>
      <c r="MLQ148" s="315"/>
      <c r="MLY148" s="315"/>
      <c r="MMG148" s="315"/>
      <c r="MMO148" s="315"/>
      <c r="MMW148" s="315"/>
      <c r="MNE148" s="315"/>
      <c r="MNM148" s="315"/>
      <c r="MNU148" s="315"/>
      <c r="MOC148" s="315"/>
      <c r="MOK148" s="315"/>
      <c r="MOS148" s="315"/>
      <c r="MPA148" s="315"/>
      <c r="MPI148" s="315"/>
      <c r="MPQ148" s="315"/>
      <c r="MPY148" s="315"/>
      <c r="MQG148" s="315"/>
      <c r="MQO148" s="315"/>
      <c r="MQW148" s="315"/>
      <c r="MRE148" s="315"/>
      <c r="MRM148" s="315"/>
      <c r="MRU148" s="315"/>
      <c r="MSC148" s="315"/>
      <c r="MSK148" s="315"/>
      <c r="MSS148" s="315"/>
      <c r="MTA148" s="315"/>
      <c r="MTI148" s="315"/>
      <c r="MTQ148" s="315"/>
      <c r="MTY148" s="315"/>
      <c r="MUG148" s="315"/>
      <c r="MUO148" s="315"/>
      <c r="MUW148" s="315"/>
      <c r="MVE148" s="315"/>
      <c r="MVM148" s="315"/>
      <c r="MVU148" s="315"/>
      <c r="MWC148" s="315"/>
      <c r="MWK148" s="315"/>
      <c r="MWS148" s="315"/>
      <c r="MXA148" s="315"/>
      <c r="MXI148" s="315"/>
      <c r="MXQ148" s="315"/>
      <c r="MXY148" s="315"/>
      <c r="MYG148" s="315"/>
      <c r="MYO148" s="315"/>
      <c r="MYW148" s="315"/>
      <c r="MZE148" s="315"/>
      <c r="MZM148" s="315"/>
      <c r="MZU148" s="315"/>
      <c r="NAC148" s="315"/>
      <c r="NAK148" s="315"/>
      <c r="NAS148" s="315"/>
      <c r="NBA148" s="315"/>
      <c r="NBI148" s="315"/>
      <c r="NBQ148" s="315"/>
      <c r="NBY148" s="315"/>
      <c r="NCG148" s="315"/>
      <c r="NCO148" s="315"/>
      <c r="NCW148" s="315"/>
      <c r="NDE148" s="315"/>
      <c r="NDM148" s="315"/>
      <c r="NDU148" s="315"/>
      <c r="NEC148" s="315"/>
      <c r="NEK148" s="315"/>
      <c r="NES148" s="315"/>
      <c r="NFA148" s="315"/>
      <c r="NFI148" s="315"/>
      <c r="NFQ148" s="315"/>
      <c r="NFY148" s="315"/>
      <c r="NGG148" s="315"/>
      <c r="NGO148" s="315"/>
      <c r="NGW148" s="315"/>
      <c r="NHE148" s="315"/>
      <c r="NHM148" s="315"/>
      <c r="NHU148" s="315"/>
      <c r="NIC148" s="315"/>
      <c r="NIK148" s="315"/>
      <c r="NIS148" s="315"/>
      <c r="NJA148" s="315"/>
      <c r="NJI148" s="315"/>
      <c r="NJQ148" s="315"/>
      <c r="NJY148" s="315"/>
      <c r="NKG148" s="315"/>
      <c r="NKO148" s="315"/>
      <c r="NKW148" s="315"/>
      <c r="NLE148" s="315"/>
      <c r="NLM148" s="315"/>
      <c r="NLU148" s="315"/>
      <c r="NMC148" s="315"/>
      <c r="NMK148" s="315"/>
      <c r="NMS148" s="315"/>
      <c r="NNA148" s="315"/>
      <c r="NNI148" s="315"/>
      <c r="NNQ148" s="315"/>
      <c r="NNY148" s="315"/>
      <c r="NOG148" s="315"/>
      <c r="NOO148" s="315"/>
      <c r="NOW148" s="315"/>
      <c r="NPE148" s="315"/>
      <c r="NPM148" s="315"/>
      <c r="NPU148" s="315"/>
      <c r="NQC148" s="315"/>
      <c r="NQK148" s="315"/>
      <c r="NQS148" s="315"/>
      <c r="NRA148" s="315"/>
      <c r="NRI148" s="315"/>
      <c r="NRQ148" s="315"/>
      <c r="NRY148" s="315"/>
      <c r="NSG148" s="315"/>
      <c r="NSO148" s="315"/>
      <c r="NSW148" s="315"/>
      <c r="NTE148" s="315"/>
      <c r="NTM148" s="315"/>
      <c r="NTU148" s="315"/>
      <c r="NUC148" s="315"/>
      <c r="NUK148" s="315"/>
      <c r="NUS148" s="315"/>
      <c r="NVA148" s="315"/>
      <c r="NVI148" s="315"/>
      <c r="NVQ148" s="315"/>
      <c r="NVY148" s="315"/>
      <c r="NWG148" s="315"/>
      <c r="NWO148" s="315"/>
      <c r="NWW148" s="315"/>
      <c r="NXE148" s="315"/>
      <c r="NXM148" s="315"/>
      <c r="NXU148" s="315"/>
      <c r="NYC148" s="315"/>
      <c r="NYK148" s="315"/>
      <c r="NYS148" s="315"/>
      <c r="NZA148" s="315"/>
      <c r="NZI148" s="315"/>
      <c r="NZQ148" s="315"/>
      <c r="NZY148" s="315"/>
      <c r="OAG148" s="315"/>
      <c r="OAO148" s="315"/>
      <c r="OAW148" s="315"/>
      <c r="OBE148" s="315"/>
      <c r="OBM148" s="315"/>
      <c r="OBU148" s="315"/>
      <c r="OCC148" s="315"/>
      <c r="OCK148" s="315"/>
      <c r="OCS148" s="315"/>
      <c r="ODA148" s="315"/>
      <c r="ODI148" s="315"/>
      <c r="ODQ148" s="315"/>
      <c r="ODY148" s="315"/>
      <c r="OEG148" s="315"/>
      <c r="OEO148" s="315"/>
      <c r="OEW148" s="315"/>
      <c r="OFE148" s="315"/>
      <c r="OFM148" s="315"/>
      <c r="OFU148" s="315"/>
      <c r="OGC148" s="315"/>
      <c r="OGK148" s="315"/>
      <c r="OGS148" s="315"/>
      <c r="OHA148" s="315"/>
      <c r="OHI148" s="315"/>
      <c r="OHQ148" s="315"/>
      <c r="OHY148" s="315"/>
      <c r="OIG148" s="315"/>
      <c r="OIO148" s="315"/>
      <c r="OIW148" s="315"/>
      <c r="OJE148" s="315"/>
      <c r="OJM148" s="315"/>
      <c r="OJU148" s="315"/>
      <c r="OKC148" s="315"/>
      <c r="OKK148" s="315"/>
      <c r="OKS148" s="315"/>
      <c r="OLA148" s="315"/>
      <c r="OLI148" s="315"/>
      <c r="OLQ148" s="315"/>
      <c r="OLY148" s="315"/>
      <c r="OMG148" s="315"/>
      <c r="OMO148" s="315"/>
      <c r="OMW148" s="315"/>
      <c r="ONE148" s="315"/>
      <c r="ONM148" s="315"/>
      <c r="ONU148" s="315"/>
      <c r="OOC148" s="315"/>
      <c r="OOK148" s="315"/>
      <c r="OOS148" s="315"/>
      <c r="OPA148" s="315"/>
      <c r="OPI148" s="315"/>
      <c r="OPQ148" s="315"/>
      <c r="OPY148" s="315"/>
      <c r="OQG148" s="315"/>
      <c r="OQO148" s="315"/>
      <c r="OQW148" s="315"/>
      <c r="ORE148" s="315"/>
      <c r="ORM148" s="315"/>
      <c r="ORU148" s="315"/>
      <c r="OSC148" s="315"/>
      <c r="OSK148" s="315"/>
      <c r="OSS148" s="315"/>
      <c r="OTA148" s="315"/>
      <c r="OTI148" s="315"/>
      <c r="OTQ148" s="315"/>
      <c r="OTY148" s="315"/>
      <c r="OUG148" s="315"/>
      <c r="OUO148" s="315"/>
      <c r="OUW148" s="315"/>
      <c r="OVE148" s="315"/>
      <c r="OVM148" s="315"/>
      <c r="OVU148" s="315"/>
      <c r="OWC148" s="315"/>
      <c r="OWK148" s="315"/>
      <c r="OWS148" s="315"/>
      <c r="OXA148" s="315"/>
      <c r="OXI148" s="315"/>
      <c r="OXQ148" s="315"/>
      <c r="OXY148" s="315"/>
      <c r="OYG148" s="315"/>
      <c r="OYO148" s="315"/>
      <c r="OYW148" s="315"/>
      <c r="OZE148" s="315"/>
      <c r="OZM148" s="315"/>
      <c r="OZU148" s="315"/>
      <c r="PAC148" s="315"/>
      <c r="PAK148" s="315"/>
      <c r="PAS148" s="315"/>
      <c r="PBA148" s="315"/>
      <c r="PBI148" s="315"/>
      <c r="PBQ148" s="315"/>
      <c r="PBY148" s="315"/>
      <c r="PCG148" s="315"/>
      <c r="PCO148" s="315"/>
      <c r="PCW148" s="315"/>
      <c r="PDE148" s="315"/>
      <c r="PDM148" s="315"/>
      <c r="PDU148" s="315"/>
      <c r="PEC148" s="315"/>
      <c r="PEK148" s="315"/>
      <c r="PES148" s="315"/>
      <c r="PFA148" s="315"/>
      <c r="PFI148" s="315"/>
      <c r="PFQ148" s="315"/>
      <c r="PFY148" s="315"/>
      <c r="PGG148" s="315"/>
      <c r="PGO148" s="315"/>
      <c r="PGW148" s="315"/>
      <c r="PHE148" s="315"/>
      <c r="PHM148" s="315"/>
      <c r="PHU148" s="315"/>
      <c r="PIC148" s="315"/>
      <c r="PIK148" s="315"/>
      <c r="PIS148" s="315"/>
      <c r="PJA148" s="315"/>
      <c r="PJI148" s="315"/>
      <c r="PJQ148" s="315"/>
      <c r="PJY148" s="315"/>
      <c r="PKG148" s="315"/>
      <c r="PKO148" s="315"/>
      <c r="PKW148" s="315"/>
      <c r="PLE148" s="315"/>
      <c r="PLM148" s="315"/>
      <c r="PLU148" s="315"/>
      <c r="PMC148" s="315"/>
      <c r="PMK148" s="315"/>
      <c r="PMS148" s="315"/>
      <c r="PNA148" s="315"/>
      <c r="PNI148" s="315"/>
      <c r="PNQ148" s="315"/>
      <c r="PNY148" s="315"/>
      <c r="POG148" s="315"/>
      <c r="POO148" s="315"/>
      <c r="POW148" s="315"/>
      <c r="PPE148" s="315"/>
      <c r="PPM148" s="315"/>
      <c r="PPU148" s="315"/>
      <c r="PQC148" s="315"/>
      <c r="PQK148" s="315"/>
      <c r="PQS148" s="315"/>
      <c r="PRA148" s="315"/>
      <c r="PRI148" s="315"/>
      <c r="PRQ148" s="315"/>
      <c r="PRY148" s="315"/>
      <c r="PSG148" s="315"/>
      <c r="PSO148" s="315"/>
      <c r="PSW148" s="315"/>
      <c r="PTE148" s="315"/>
      <c r="PTM148" s="315"/>
      <c r="PTU148" s="315"/>
      <c r="PUC148" s="315"/>
      <c r="PUK148" s="315"/>
      <c r="PUS148" s="315"/>
      <c r="PVA148" s="315"/>
      <c r="PVI148" s="315"/>
      <c r="PVQ148" s="315"/>
      <c r="PVY148" s="315"/>
      <c r="PWG148" s="315"/>
      <c r="PWO148" s="315"/>
      <c r="PWW148" s="315"/>
      <c r="PXE148" s="315"/>
      <c r="PXM148" s="315"/>
      <c r="PXU148" s="315"/>
      <c r="PYC148" s="315"/>
      <c r="PYK148" s="315"/>
      <c r="PYS148" s="315"/>
      <c r="PZA148" s="315"/>
      <c r="PZI148" s="315"/>
      <c r="PZQ148" s="315"/>
      <c r="PZY148" s="315"/>
      <c r="QAG148" s="315"/>
      <c r="QAO148" s="315"/>
      <c r="QAW148" s="315"/>
      <c r="QBE148" s="315"/>
      <c r="QBM148" s="315"/>
      <c r="QBU148" s="315"/>
      <c r="QCC148" s="315"/>
      <c r="QCK148" s="315"/>
      <c r="QCS148" s="315"/>
      <c r="QDA148" s="315"/>
      <c r="QDI148" s="315"/>
      <c r="QDQ148" s="315"/>
      <c r="QDY148" s="315"/>
      <c r="QEG148" s="315"/>
      <c r="QEO148" s="315"/>
      <c r="QEW148" s="315"/>
      <c r="QFE148" s="315"/>
      <c r="QFM148" s="315"/>
      <c r="QFU148" s="315"/>
      <c r="QGC148" s="315"/>
      <c r="QGK148" s="315"/>
      <c r="QGS148" s="315"/>
      <c r="QHA148" s="315"/>
      <c r="QHI148" s="315"/>
      <c r="QHQ148" s="315"/>
      <c r="QHY148" s="315"/>
      <c r="QIG148" s="315"/>
      <c r="QIO148" s="315"/>
      <c r="QIW148" s="315"/>
      <c r="QJE148" s="315"/>
      <c r="QJM148" s="315"/>
      <c r="QJU148" s="315"/>
      <c r="QKC148" s="315"/>
      <c r="QKK148" s="315"/>
      <c r="QKS148" s="315"/>
      <c r="QLA148" s="315"/>
      <c r="QLI148" s="315"/>
      <c r="QLQ148" s="315"/>
      <c r="QLY148" s="315"/>
      <c r="QMG148" s="315"/>
      <c r="QMO148" s="315"/>
      <c r="QMW148" s="315"/>
      <c r="QNE148" s="315"/>
      <c r="QNM148" s="315"/>
      <c r="QNU148" s="315"/>
      <c r="QOC148" s="315"/>
      <c r="QOK148" s="315"/>
      <c r="QOS148" s="315"/>
      <c r="QPA148" s="315"/>
      <c r="QPI148" s="315"/>
      <c r="QPQ148" s="315"/>
      <c r="QPY148" s="315"/>
      <c r="QQG148" s="315"/>
      <c r="QQO148" s="315"/>
      <c r="QQW148" s="315"/>
      <c r="QRE148" s="315"/>
      <c r="QRM148" s="315"/>
      <c r="QRU148" s="315"/>
      <c r="QSC148" s="315"/>
      <c r="QSK148" s="315"/>
      <c r="QSS148" s="315"/>
      <c r="QTA148" s="315"/>
      <c r="QTI148" s="315"/>
      <c r="QTQ148" s="315"/>
      <c r="QTY148" s="315"/>
      <c r="QUG148" s="315"/>
      <c r="QUO148" s="315"/>
      <c r="QUW148" s="315"/>
      <c r="QVE148" s="315"/>
      <c r="QVM148" s="315"/>
      <c r="QVU148" s="315"/>
      <c r="QWC148" s="315"/>
      <c r="QWK148" s="315"/>
      <c r="QWS148" s="315"/>
      <c r="QXA148" s="315"/>
      <c r="QXI148" s="315"/>
      <c r="QXQ148" s="315"/>
      <c r="QXY148" s="315"/>
      <c r="QYG148" s="315"/>
      <c r="QYO148" s="315"/>
      <c r="QYW148" s="315"/>
      <c r="QZE148" s="315"/>
      <c r="QZM148" s="315"/>
      <c r="QZU148" s="315"/>
      <c r="RAC148" s="315"/>
      <c r="RAK148" s="315"/>
      <c r="RAS148" s="315"/>
      <c r="RBA148" s="315"/>
      <c r="RBI148" s="315"/>
      <c r="RBQ148" s="315"/>
      <c r="RBY148" s="315"/>
      <c r="RCG148" s="315"/>
      <c r="RCO148" s="315"/>
      <c r="RCW148" s="315"/>
      <c r="RDE148" s="315"/>
      <c r="RDM148" s="315"/>
      <c r="RDU148" s="315"/>
      <c r="REC148" s="315"/>
      <c r="REK148" s="315"/>
      <c r="RES148" s="315"/>
      <c r="RFA148" s="315"/>
      <c r="RFI148" s="315"/>
      <c r="RFQ148" s="315"/>
      <c r="RFY148" s="315"/>
      <c r="RGG148" s="315"/>
      <c r="RGO148" s="315"/>
      <c r="RGW148" s="315"/>
      <c r="RHE148" s="315"/>
      <c r="RHM148" s="315"/>
      <c r="RHU148" s="315"/>
      <c r="RIC148" s="315"/>
      <c r="RIK148" s="315"/>
      <c r="RIS148" s="315"/>
      <c r="RJA148" s="315"/>
      <c r="RJI148" s="315"/>
      <c r="RJQ148" s="315"/>
      <c r="RJY148" s="315"/>
      <c r="RKG148" s="315"/>
      <c r="RKO148" s="315"/>
      <c r="RKW148" s="315"/>
      <c r="RLE148" s="315"/>
      <c r="RLM148" s="315"/>
      <c r="RLU148" s="315"/>
      <c r="RMC148" s="315"/>
      <c r="RMK148" s="315"/>
      <c r="RMS148" s="315"/>
      <c r="RNA148" s="315"/>
      <c r="RNI148" s="315"/>
      <c r="RNQ148" s="315"/>
      <c r="RNY148" s="315"/>
      <c r="ROG148" s="315"/>
      <c r="ROO148" s="315"/>
      <c r="ROW148" s="315"/>
      <c r="RPE148" s="315"/>
      <c r="RPM148" s="315"/>
      <c r="RPU148" s="315"/>
      <c r="RQC148" s="315"/>
      <c r="RQK148" s="315"/>
      <c r="RQS148" s="315"/>
      <c r="RRA148" s="315"/>
      <c r="RRI148" s="315"/>
      <c r="RRQ148" s="315"/>
      <c r="RRY148" s="315"/>
      <c r="RSG148" s="315"/>
      <c r="RSO148" s="315"/>
      <c r="RSW148" s="315"/>
      <c r="RTE148" s="315"/>
      <c r="RTM148" s="315"/>
      <c r="RTU148" s="315"/>
      <c r="RUC148" s="315"/>
      <c r="RUK148" s="315"/>
      <c r="RUS148" s="315"/>
      <c r="RVA148" s="315"/>
      <c r="RVI148" s="315"/>
      <c r="RVQ148" s="315"/>
      <c r="RVY148" s="315"/>
      <c r="RWG148" s="315"/>
      <c r="RWO148" s="315"/>
      <c r="RWW148" s="315"/>
      <c r="RXE148" s="315"/>
      <c r="RXM148" s="315"/>
      <c r="RXU148" s="315"/>
      <c r="RYC148" s="315"/>
      <c r="RYK148" s="315"/>
      <c r="RYS148" s="315"/>
      <c r="RZA148" s="315"/>
      <c r="RZI148" s="315"/>
      <c r="RZQ148" s="315"/>
      <c r="RZY148" s="315"/>
      <c r="SAG148" s="315"/>
      <c r="SAO148" s="315"/>
      <c r="SAW148" s="315"/>
      <c r="SBE148" s="315"/>
      <c r="SBM148" s="315"/>
      <c r="SBU148" s="315"/>
      <c r="SCC148" s="315"/>
      <c r="SCK148" s="315"/>
      <c r="SCS148" s="315"/>
      <c r="SDA148" s="315"/>
      <c r="SDI148" s="315"/>
      <c r="SDQ148" s="315"/>
      <c r="SDY148" s="315"/>
      <c r="SEG148" s="315"/>
      <c r="SEO148" s="315"/>
      <c r="SEW148" s="315"/>
      <c r="SFE148" s="315"/>
      <c r="SFM148" s="315"/>
      <c r="SFU148" s="315"/>
      <c r="SGC148" s="315"/>
      <c r="SGK148" s="315"/>
      <c r="SGS148" s="315"/>
      <c r="SHA148" s="315"/>
      <c r="SHI148" s="315"/>
      <c r="SHQ148" s="315"/>
      <c r="SHY148" s="315"/>
      <c r="SIG148" s="315"/>
      <c r="SIO148" s="315"/>
      <c r="SIW148" s="315"/>
      <c r="SJE148" s="315"/>
      <c r="SJM148" s="315"/>
      <c r="SJU148" s="315"/>
      <c r="SKC148" s="315"/>
      <c r="SKK148" s="315"/>
      <c r="SKS148" s="315"/>
      <c r="SLA148" s="315"/>
      <c r="SLI148" s="315"/>
      <c r="SLQ148" s="315"/>
      <c r="SLY148" s="315"/>
      <c r="SMG148" s="315"/>
      <c r="SMO148" s="315"/>
      <c r="SMW148" s="315"/>
      <c r="SNE148" s="315"/>
      <c r="SNM148" s="315"/>
      <c r="SNU148" s="315"/>
      <c r="SOC148" s="315"/>
      <c r="SOK148" s="315"/>
      <c r="SOS148" s="315"/>
      <c r="SPA148" s="315"/>
      <c r="SPI148" s="315"/>
      <c r="SPQ148" s="315"/>
      <c r="SPY148" s="315"/>
      <c r="SQG148" s="315"/>
      <c r="SQO148" s="315"/>
      <c r="SQW148" s="315"/>
      <c r="SRE148" s="315"/>
      <c r="SRM148" s="315"/>
      <c r="SRU148" s="315"/>
      <c r="SSC148" s="315"/>
      <c r="SSK148" s="315"/>
      <c r="SSS148" s="315"/>
      <c r="STA148" s="315"/>
      <c r="STI148" s="315"/>
      <c r="STQ148" s="315"/>
      <c r="STY148" s="315"/>
      <c r="SUG148" s="315"/>
      <c r="SUO148" s="315"/>
      <c r="SUW148" s="315"/>
      <c r="SVE148" s="315"/>
      <c r="SVM148" s="315"/>
      <c r="SVU148" s="315"/>
      <c r="SWC148" s="315"/>
      <c r="SWK148" s="315"/>
      <c r="SWS148" s="315"/>
      <c r="SXA148" s="315"/>
      <c r="SXI148" s="315"/>
      <c r="SXQ148" s="315"/>
      <c r="SXY148" s="315"/>
      <c r="SYG148" s="315"/>
      <c r="SYO148" s="315"/>
      <c r="SYW148" s="315"/>
      <c r="SZE148" s="315"/>
      <c r="SZM148" s="315"/>
      <c r="SZU148" s="315"/>
      <c r="TAC148" s="315"/>
      <c r="TAK148" s="315"/>
      <c r="TAS148" s="315"/>
      <c r="TBA148" s="315"/>
      <c r="TBI148" s="315"/>
      <c r="TBQ148" s="315"/>
      <c r="TBY148" s="315"/>
      <c r="TCG148" s="315"/>
      <c r="TCO148" s="315"/>
      <c r="TCW148" s="315"/>
      <c r="TDE148" s="315"/>
      <c r="TDM148" s="315"/>
      <c r="TDU148" s="315"/>
      <c r="TEC148" s="315"/>
      <c r="TEK148" s="315"/>
      <c r="TES148" s="315"/>
      <c r="TFA148" s="315"/>
      <c r="TFI148" s="315"/>
      <c r="TFQ148" s="315"/>
      <c r="TFY148" s="315"/>
      <c r="TGG148" s="315"/>
      <c r="TGO148" s="315"/>
      <c r="TGW148" s="315"/>
      <c r="THE148" s="315"/>
      <c r="THM148" s="315"/>
      <c r="THU148" s="315"/>
      <c r="TIC148" s="315"/>
      <c r="TIK148" s="315"/>
      <c r="TIS148" s="315"/>
      <c r="TJA148" s="315"/>
      <c r="TJI148" s="315"/>
      <c r="TJQ148" s="315"/>
      <c r="TJY148" s="315"/>
      <c r="TKG148" s="315"/>
      <c r="TKO148" s="315"/>
      <c r="TKW148" s="315"/>
      <c r="TLE148" s="315"/>
      <c r="TLM148" s="315"/>
      <c r="TLU148" s="315"/>
      <c r="TMC148" s="315"/>
      <c r="TMK148" s="315"/>
      <c r="TMS148" s="315"/>
      <c r="TNA148" s="315"/>
      <c r="TNI148" s="315"/>
      <c r="TNQ148" s="315"/>
      <c r="TNY148" s="315"/>
      <c r="TOG148" s="315"/>
      <c r="TOO148" s="315"/>
      <c r="TOW148" s="315"/>
      <c r="TPE148" s="315"/>
      <c r="TPM148" s="315"/>
      <c r="TPU148" s="315"/>
      <c r="TQC148" s="315"/>
      <c r="TQK148" s="315"/>
      <c r="TQS148" s="315"/>
      <c r="TRA148" s="315"/>
      <c r="TRI148" s="315"/>
      <c r="TRQ148" s="315"/>
      <c r="TRY148" s="315"/>
      <c r="TSG148" s="315"/>
      <c r="TSO148" s="315"/>
      <c r="TSW148" s="315"/>
      <c r="TTE148" s="315"/>
      <c r="TTM148" s="315"/>
      <c r="TTU148" s="315"/>
      <c r="TUC148" s="315"/>
      <c r="TUK148" s="315"/>
      <c r="TUS148" s="315"/>
      <c r="TVA148" s="315"/>
      <c r="TVI148" s="315"/>
      <c r="TVQ148" s="315"/>
      <c r="TVY148" s="315"/>
      <c r="TWG148" s="315"/>
      <c r="TWO148" s="315"/>
      <c r="TWW148" s="315"/>
      <c r="TXE148" s="315"/>
      <c r="TXM148" s="315"/>
      <c r="TXU148" s="315"/>
      <c r="TYC148" s="315"/>
      <c r="TYK148" s="315"/>
      <c r="TYS148" s="315"/>
      <c r="TZA148" s="315"/>
      <c r="TZI148" s="315"/>
      <c r="TZQ148" s="315"/>
      <c r="TZY148" s="315"/>
      <c r="UAG148" s="315"/>
      <c r="UAO148" s="315"/>
      <c r="UAW148" s="315"/>
      <c r="UBE148" s="315"/>
      <c r="UBM148" s="315"/>
      <c r="UBU148" s="315"/>
      <c r="UCC148" s="315"/>
      <c r="UCK148" s="315"/>
      <c r="UCS148" s="315"/>
      <c r="UDA148" s="315"/>
      <c r="UDI148" s="315"/>
      <c r="UDQ148" s="315"/>
      <c r="UDY148" s="315"/>
      <c r="UEG148" s="315"/>
      <c r="UEO148" s="315"/>
      <c r="UEW148" s="315"/>
      <c r="UFE148" s="315"/>
      <c r="UFM148" s="315"/>
      <c r="UFU148" s="315"/>
      <c r="UGC148" s="315"/>
      <c r="UGK148" s="315"/>
      <c r="UGS148" s="315"/>
      <c r="UHA148" s="315"/>
      <c r="UHI148" s="315"/>
      <c r="UHQ148" s="315"/>
      <c r="UHY148" s="315"/>
      <c r="UIG148" s="315"/>
      <c r="UIO148" s="315"/>
      <c r="UIW148" s="315"/>
      <c r="UJE148" s="315"/>
      <c r="UJM148" s="315"/>
      <c r="UJU148" s="315"/>
      <c r="UKC148" s="315"/>
      <c r="UKK148" s="315"/>
      <c r="UKS148" s="315"/>
      <c r="ULA148" s="315"/>
      <c r="ULI148" s="315"/>
      <c r="ULQ148" s="315"/>
      <c r="ULY148" s="315"/>
      <c r="UMG148" s="315"/>
      <c r="UMO148" s="315"/>
      <c r="UMW148" s="315"/>
      <c r="UNE148" s="315"/>
      <c r="UNM148" s="315"/>
      <c r="UNU148" s="315"/>
      <c r="UOC148" s="315"/>
      <c r="UOK148" s="315"/>
      <c r="UOS148" s="315"/>
      <c r="UPA148" s="315"/>
      <c r="UPI148" s="315"/>
      <c r="UPQ148" s="315"/>
      <c r="UPY148" s="315"/>
      <c r="UQG148" s="315"/>
      <c r="UQO148" s="315"/>
      <c r="UQW148" s="315"/>
      <c r="URE148" s="315"/>
      <c r="URM148" s="315"/>
      <c r="URU148" s="315"/>
      <c r="USC148" s="315"/>
      <c r="USK148" s="315"/>
      <c r="USS148" s="315"/>
      <c r="UTA148" s="315"/>
      <c r="UTI148" s="315"/>
      <c r="UTQ148" s="315"/>
      <c r="UTY148" s="315"/>
      <c r="UUG148" s="315"/>
      <c r="UUO148" s="315"/>
      <c r="UUW148" s="315"/>
      <c r="UVE148" s="315"/>
      <c r="UVM148" s="315"/>
      <c r="UVU148" s="315"/>
      <c r="UWC148" s="315"/>
      <c r="UWK148" s="315"/>
      <c r="UWS148" s="315"/>
      <c r="UXA148" s="315"/>
      <c r="UXI148" s="315"/>
      <c r="UXQ148" s="315"/>
      <c r="UXY148" s="315"/>
      <c r="UYG148" s="315"/>
      <c r="UYO148" s="315"/>
      <c r="UYW148" s="315"/>
      <c r="UZE148" s="315"/>
      <c r="UZM148" s="315"/>
      <c r="UZU148" s="315"/>
      <c r="VAC148" s="315"/>
      <c r="VAK148" s="315"/>
      <c r="VAS148" s="315"/>
      <c r="VBA148" s="315"/>
      <c r="VBI148" s="315"/>
      <c r="VBQ148" s="315"/>
      <c r="VBY148" s="315"/>
      <c r="VCG148" s="315"/>
      <c r="VCO148" s="315"/>
      <c r="VCW148" s="315"/>
      <c r="VDE148" s="315"/>
      <c r="VDM148" s="315"/>
      <c r="VDU148" s="315"/>
      <c r="VEC148" s="315"/>
      <c r="VEK148" s="315"/>
      <c r="VES148" s="315"/>
      <c r="VFA148" s="315"/>
      <c r="VFI148" s="315"/>
      <c r="VFQ148" s="315"/>
      <c r="VFY148" s="315"/>
      <c r="VGG148" s="315"/>
      <c r="VGO148" s="315"/>
      <c r="VGW148" s="315"/>
      <c r="VHE148" s="315"/>
      <c r="VHM148" s="315"/>
      <c r="VHU148" s="315"/>
      <c r="VIC148" s="315"/>
      <c r="VIK148" s="315"/>
      <c r="VIS148" s="315"/>
      <c r="VJA148" s="315"/>
      <c r="VJI148" s="315"/>
      <c r="VJQ148" s="315"/>
      <c r="VJY148" s="315"/>
      <c r="VKG148" s="315"/>
      <c r="VKO148" s="315"/>
      <c r="VKW148" s="315"/>
      <c r="VLE148" s="315"/>
      <c r="VLM148" s="315"/>
      <c r="VLU148" s="315"/>
      <c r="VMC148" s="315"/>
      <c r="VMK148" s="315"/>
      <c r="VMS148" s="315"/>
      <c r="VNA148" s="315"/>
      <c r="VNI148" s="315"/>
      <c r="VNQ148" s="315"/>
      <c r="VNY148" s="315"/>
      <c r="VOG148" s="315"/>
      <c r="VOO148" s="315"/>
      <c r="VOW148" s="315"/>
      <c r="VPE148" s="315"/>
      <c r="VPM148" s="315"/>
      <c r="VPU148" s="315"/>
      <c r="VQC148" s="315"/>
      <c r="VQK148" s="315"/>
      <c r="VQS148" s="315"/>
      <c r="VRA148" s="315"/>
      <c r="VRI148" s="315"/>
      <c r="VRQ148" s="315"/>
      <c r="VRY148" s="315"/>
      <c r="VSG148" s="315"/>
      <c r="VSO148" s="315"/>
      <c r="VSW148" s="315"/>
      <c r="VTE148" s="315"/>
      <c r="VTM148" s="315"/>
      <c r="VTU148" s="315"/>
      <c r="VUC148" s="315"/>
      <c r="VUK148" s="315"/>
      <c r="VUS148" s="315"/>
      <c r="VVA148" s="315"/>
      <c r="VVI148" s="315"/>
      <c r="VVQ148" s="315"/>
      <c r="VVY148" s="315"/>
      <c r="VWG148" s="315"/>
      <c r="VWO148" s="315"/>
      <c r="VWW148" s="315"/>
      <c r="VXE148" s="315"/>
      <c r="VXM148" s="315"/>
      <c r="VXU148" s="315"/>
      <c r="VYC148" s="315"/>
      <c r="VYK148" s="315"/>
      <c r="VYS148" s="315"/>
      <c r="VZA148" s="315"/>
      <c r="VZI148" s="315"/>
      <c r="VZQ148" s="315"/>
      <c r="VZY148" s="315"/>
      <c r="WAG148" s="315"/>
      <c r="WAO148" s="315"/>
      <c r="WAW148" s="315"/>
      <c r="WBE148" s="315"/>
      <c r="WBM148" s="315"/>
      <c r="WBU148" s="315"/>
      <c r="WCC148" s="315"/>
      <c r="WCK148" s="315"/>
      <c r="WCS148" s="315"/>
      <c r="WDA148" s="315"/>
      <c r="WDI148" s="315"/>
      <c r="WDQ148" s="315"/>
      <c r="WDY148" s="315"/>
      <c r="WEG148" s="315"/>
      <c r="WEO148" s="315"/>
      <c r="WEW148" s="315"/>
      <c r="WFE148" s="315"/>
      <c r="WFM148" s="315"/>
      <c r="WFU148" s="315"/>
      <c r="WGC148" s="315"/>
      <c r="WGK148" s="315"/>
      <c r="WGS148" s="315"/>
      <c r="WHA148" s="315"/>
      <c r="WHI148" s="315"/>
      <c r="WHQ148" s="315"/>
      <c r="WHY148" s="315"/>
      <c r="WIG148" s="315"/>
      <c r="WIO148" s="315"/>
      <c r="WIW148" s="315"/>
      <c r="WJE148" s="315"/>
      <c r="WJM148" s="315"/>
      <c r="WJU148" s="315"/>
      <c r="WKC148" s="315"/>
      <c r="WKK148" s="315"/>
      <c r="WKS148" s="315"/>
      <c r="WLA148" s="315"/>
      <c r="WLI148" s="315"/>
      <c r="WLQ148" s="315"/>
      <c r="WLY148" s="315"/>
      <c r="WMG148" s="315"/>
      <c r="WMO148" s="315"/>
      <c r="WMW148" s="315"/>
      <c r="WNE148" s="315"/>
      <c r="WNM148" s="315"/>
      <c r="WNU148" s="315"/>
      <c r="WOC148" s="315"/>
      <c r="WOK148" s="315"/>
      <c r="WOS148" s="315"/>
      <c r="WPA148" s="315"/>
      <c r="WPI148" s="315"/>
      <c r="WPQ148" s="315"/>
      <c r="WPY148" s="315"/>
      <c r="WQG148" s="315"/>
      <c r="WQO148" s="315"/>
      <c r="WQW148" s="315"/>
      <c r="WRE148" s="315"/>
      <c r="WRM148" s="315"/>
      <c r="WRU148" s="315"/>
      <c r="WSC148" s="315"/>
      <c r="WSK148" s="315"/>
      <c r="WSS148" s="315"/>
      <c r="WTA148" s="315"/>
      <c r="WTI148" s="315"/>
      <c r="WTQ148" s="315"/>
      <c r="WTY148" s="315"/>
      <c r="WUG148" s="315"/>
      <c r="WUO148" s="315"/>
      <c r="WUW148" s="315"/>
      <c r="WVE148" s="315"/>
      <c r="WVM148" s="315"/>
      <c r="WVU148" s="315"/>
      <c r="WWC148" s="315"/>
      <c r="WWK148" s="315"/>
      <c r="WWS148" s="315"/>
      <c r="WXA148" s="315"/>
      <c r="WXI148" s="315"/>
      <c r="WXQ148" s="315"/>
      <c r="WXY148" s="315"/>
      <c r="WYG148" s="315"/>
      <c r="WYO148" s="315"/>
      <c r="WYW148" s="315"/>
      <c r="WZE148" s="315"/>
      <c r="WZM148" s="315"/>
      <c r="WZU148" s="315"/>
      <c r="XAC148" s="315"/>
      <c r="XAK148" s="315"/>
      <c r="XAS148" s="315"/>
      <c r="XBA148" s="315"/>
      <c r="XBI148" s="315"/>
      <c r="XBQ148" s="315"/>
      <c r="XBY148" s="315"/>
      <c r="XCG148" s="315"/>
      <c r="XCO148" s="315"/>
      <c r="XCW148" s="315"/>
      <c r="XDE148" s="315"/>
      <c r="XDM148" s="315"/>
      <c r="XDU148" s="315"/>
      <c r="XEC148" s="315"/>
      <c r="XEK148" s="315"/>
      <c r="XES148" s="315"/>
      <c r="XFA148" s="315"/>
    </row>
    <row r="149" spans="1:1021 1029:2045 2053:3069 3077:4093 4101:5117 5125:6141 6149:7165 7173:8189 8197:9213 9221:10237 10245:11261 11269:12285 12293:13309 13317:14333 14341:15357 15365:16381" s="287" customFormat="1" x14ac:dyDescent="0.25">
      <c r="A149" s="316"/>
    </row>
    <row r="150" spans="1:1021 1029:2045 2053:3069 3077:4093 4101:5117 5125:6141 6149:7165 7173:8189 8197:9213 9221:10237 10245:11261 11269:12285 12293:13309 13317:14333 14341:15357 15365:16381" s="287" customFormat="1" ht="18.75" customHeight="1" x14ac:dyDescent="0.25">
      <c r="A150" s="216"/>
    </row>
    <row r="151" spans="1:1021 1029:2045 2053:3069 3077:4093 4101:5117 5125:6141 6149:7165 7173:8189 8197:9213 9221:10237 10245:11261 11269:12285 12293:13309 13317:14333 14341:15357 15365:16381" s="287" customFormat="1" ht="23.25" x14ac:dyDescent="0.35">
      <c r="A151" s="286"/>
      <c r="B151" s="129" t="s">
        <v>663</v>
      </c>
      <c r="C151" s="129"/>
    </row>
    <row r="152" spans="1:1021 1029:2045 2053:3069 3077:4093 4101:5117 5125:6141 6149:7165 7173:8189 8197:9213 9221:10237 10245:11261 11269:12285 12293:13309 13317:14333 14341:15357 15365:16381" s="287" customFormat="1" ht="15" customHeight="1" x14ac:dyDescent="0.25">
      <c r="A152" s="316" t="s">
        <v>536</v>
      </c>
      <c r="B152" s="131"/>
      <c r="C152" s="131"/>
      <c r="D152" s="131"/>
      <c r="E152" s="131"/>
      <c r="F152" s="131"/>
      <c r="G152" s="132"/>
      <c r="H152" s="132"/>
      <c r="I152" s="132"/>
      <c r="J152" s="132"/>
      <c r="K152" s="142"/>
      <c r="L152" s="142"/>
      <c r="M152" s="142"/>
      <c r="N152" s="142"/>
      <c r="O152" s="142"/>
      <c r="P152" s="142"/>
      <c r="Q152" s="142"/>
    </row>
    <row r="153" spans="1:1021 1029:2045 2053:3069 3077:4093 4101:5117 5125:6141 6149:7165 7173:8189 8197:9213 9221:10237 10245:11261 11269:12285 12293:13309 13317:14333 14341:15357 15365:16381" s="287" customFormat="1" x14ac:dyDescent="0.25">
      <c r="A153" s="316"/>
      <c r="B153" s="186" t="s">
        <v>521</v>
      </c>
      <c r="C153" s="143" t="s">
        <v>436</v>
      </c>
      <c r="D153" s="157" t="s">
        <v>143</v>
      </c>
      <c r="E153" s="131"/>
      <c r="F153" s="131"/>
      <c r="G153" s="132"/>
      <c r="H153" s="132"/>
      <c r="I153" s="132"/>
      <c r="J153" s="132"/>
      <c r="K153" s="142"/>
      <c r="L153" s="142"/>
      <c r="M153" s="142"/>
      <c r="N153" s="142"/>
      <c r="O153" s="142"/>
      <c r="P153" s="142"/>
      <c r="Q153" s="142"/>
    </row>
    <row r="154" spans="1:1021 1029:2045 2053:3069 3077:4093 4101:5117 5125:6141 6149:7165 7173:8189 8197:9213 9221:10237 10245:11261 11269:12285 12293:13309 13317:14333 14341:15357 15365:16381" s="287" customFormat="1" x14ac:dyDescent="0.25">
      <c r="A154" s="316"/>
      <c r="B154" s="186"/>
      <c r="C154" s="143"/>
      <c r="D154" s="131"/>
      <c r="E154" s="131"/>
      <c r="F154" s="131"/>
      <c r="G154" s="132"/>
      <c r="H154" s="132"/>
      <c r="I154" s="132"/>
      <c r="J154" s="132"/>
      <c r="K154" s="142"/>
      <c r="L154" s="142"/>
      <c r="M154" s="142"/>
      <c r="N154" s="142"/>
      <c r="O154" s="142"/>
      <c r="P154" s="142"/>
      <c r="Q154" s="142"/>
    </row>
    <row r="155" spans="1:1021 1029:2045 2053:3069 3077:4093 4101:5117 5125:6141 6149:7165 7173:8189 8197:9213 9221:10237 10245:11261 11269:12285 12293:13309 13317:14333 14341:15357 15365:16381" s="287" customFormat="1" ht="18" x14ac:dyDescent="0.35">
      <c r="A155" s="316"/>
      <c r="B155" s="143" t="s">
        <v>143</v>
      </c>
      <c r="C155" s="131"/>
      <c r="D155" s="131"/>
      <c r="E155" s="131"/>
      <c r="F155" s="131"/>
      <c r="G155" s="144" t="s">
        <v>280</v>
      </c>
      <c r="H155" s="169" t="str">
        <f>D156</f>
        <v>Stor tankbil</v>
      </c>
      <c r="I155" s="132"/>
      <c r="J155" s="132"/>
      <c r="K155" s="142"/>
      <c r="L155" s="142"/>
      <c r="M155" s="145" t="s">
        <v>286</v>
      </c>
      <c r="N155" s="101">
        <f>VLOOKUP(D157,Indata!$1:$1048576,22,FALSE)*(H157/D158)</f>
        <v>1202.086065</v>
      </c>
      <c r="O155" s="145" t="s">
        <v>283</v>
      </c>
      <c r="P155" s="142"/>
      <c r="Q155" s="142"/>
    </row>
    <row r="156" spans="1:1021 1029:2045 2053:3069 3077:4093 4101:5117 5125:6141 6149:7165 7173:8189 8197:9213 9221:10237 10245:11261 11269:12285 12293:13309 13317:14333 14341:15357 15365:16381" s="287" customFormat="1" x14ac:dyDescent="0.25">
      <c r="A156" s="316"/>
      <c r="B156" s="131" t="s">
        <v>1</v>
      </c>
      <c r="C156" s="143" t="s">
        <v>436</v>
      </c>
      <c r="D156" s="157" t="s">
        <v>193</v>
      </c>
      <c r="E156" s="131"/>
      <c r="F156" s="131"/>
      <c r="G156" s="144" t="s">
        <v>385</v>
      </c>
      <c r="H156" s="169" t="str">
        <f>D157</f>
        <v>Diesel (5 % RME)</v>
      </c>
      <c r="I156" s="144"/>
      <c r="J156" s="132"/>
      <c r="K156" s="142"/>
      <c r="L156" s="142"/>
      <c r="M156" s="142"/>
      <c r="N156" s="142"/>
      <c r="O156" s="142"/>
      <c r="P156" s="142"/>
      <c r="Q156" s="142"/>
    </row>
    <row r="157" spans="1:1021 1029:2045 2053:3069 3077:4093 4101:5117 5125:6141 6149:7165 7173:8189 8197:9213 9221:10237 10245:11261 11269:12285 12293:13309 13317:14333 14341:15357 15365:16381" s="287" customFormat="1" x14ac:dyDescent="0.25">
      <c r="A157" s="316"/>
      <c r="B157" s="146" t="s">
        <v>386</v>
      </c>
      <c r="C157" s="143" t="s">
        <v>436</v>
      </c>
      <c r="D157" s="157" t="s">
        <v>388</v>
      </c>
      <c r="E157" s="131"/>
      <c r="F157" s="131"/>
      <c r="G157" s="144" t="s">
        <v>278</v>
      </c>
      <c r="H157" s="170">
        <f>VLOOKUP(D156,Indata!$1:$1048576,10,FALSE)*D158</f>
        <v>8.9</v>
      </c>
      <c r="I157" s="144" t="s">
        <v>281</v>
      </c>
      <c r="J157" s="132"/>
      <c r="K157" s="142"/>
      <c r="L157" s="142"/>
      <c r="M157" s="142"/>
      <c r="N157" s="142"/>
      <c r="O157" s="142"/>
      <c r="P157" s="142"/>
      <c r="Q157" s="142"/>
    </row>
    <row r="158" spans="1:1021 1029:2045 2053:3069 3077:4093 4101:5117 5125:6141 6149:7165 7173:8189 8197:9213 9221:10237 10245:11261 11269:12285 12293:13309 13317:14333 14341:15357 15365:16381" s="287" customFormat="1" x14ac:dyDescent="0.25">
      <c r="A158" s="316"/>
      <c r="B158" s="146" t="s">
        <v>279</v>
      </c>
      <c r="C158" s="143"/>
      <c r="D158" s="157">
        <v>20</v>
      </c>
      <c r="E158" s="146" t="s">
        <v>7</v>
      </c>
      <c r="F158" s="131"/>
      <c r="G158" s="132"/>
      <c r="H158" s="170">
        <f>VLOOKUP(D156,Indata!$1:$1048576,9,FALSE)*D158</f>
        <v>4.92</v>
      </c>
      <c r="I158" s="144" t="s">
        <v>282</v>
      </c>
      <c r="J158" s="132"/>
      <c r="K158" s="142"/>
      <c r="L158" s="142"/>
      <c r="M158" s="142"/>
      <c r="N158" s="142"/>
      <c r="O158" s="142"/>
      <c r="P158" s="142"/>
      <c r="Q158" s="142"/>
    </row>
    <row r="159" spans="1:1021 1029:2045 2053:3069 3077:4093 4101:5117 5125:6141 6149:7165 7173:8189 8197:9213 9221:10237 10245:11261 11269:12285 12293:13309 13317:14333 14341:15357 15365:16381" s="287" customFormat="1" x14ac:dyDescent="0.25">
      <c r="A159" s="316"/>
      <c r="B159" s="131"/>
      <c r="C159" s="131"/>
      <c r="D159" s="131"/>
      <c r="E159" s="131"/>
      <c r="F159" s="131"/>
      <c r="G159" s="144" t="s">
        <v>2</v>
      </c>
      <c r="H159" s="169">
        <f>D158</f>
        <v>20</v>
      </c>
      <c r="I159" s="144" t="s">
        <v>7</v>
      </c>
      <c r="J159" s="132"/>
      <c r="K159" s="142"/>
      <c r="L159" s="142"/>
      <c r="M159" s="142"/>
      <c r="N159" s="142"/>
      <c r="O159" s="142"/>
      <c r="P159" s="142"/>
      <c r="Q159" s="142"/>
    </row>
    <row r="160" spans="1:1021 1029:2045 2053:3069 3077:4093 4101:5117 5125:6141 6149:7165 7173:8189 8197:9213 9221:10237 10245:11261 11269:12285 12293:13309 13317:14333 14341:15357 15365:16381" s="287" customFormat="1" ht="18" x14ac:dyDescent="0.35">
      <c r="A160" s="316"/>
      <c r="B160" s="131"/>
      <c r="C160" s="131"/>
      <c r="D160" s="131"/>
      <c r="E160" s="131"/>
      <c r="F160" s="131"/>
      <c r="G160" s="144" t="s">
        <v>437</v>
      </c>
      <c r="H160" s="158">
        <f>IF(D157="RME (100 %)","-",VLOOKUP(D157,Indata!$1:$1048576,22,FALSE))</f>
        <v>2701.317</v>
      </c>
      <c r="I160" s="144" t="s">
        <v>390</v>
      </c>
      <c r="J160" s="132"/>
      <c r="K160" s="142"/>
      <c r="L160" s="142"/>
      <c r="M160" s="142" t="s">
        <v>287</v>
      </c>
      <c r="N160" s="101">
        <f>IF($D$23= "Eget värmevärde",(VLOOKUP(D157,Indata!$1:$1048576,22,FALSE)*VLOOKUP(Växthusgasberäkning!D156,Indata!$1:$1048576,10,FALSE)*Växthusgasberäkning!D158)/VLOOKUP(D156,Indata!$1:$1048576,7,FALSE)/$G$23,(VLOOKUP(D157,Indata!$1:$1048576,22,FALSE)*VLOOKUP(Växthusgasberäkning!D156,Indata!$1:$1048576,10,FALSE)*Växthusgasberäkning!D158)/VLOOKUP(D156,Indata!$1:$1048576,7,FALSE)/VLOOKUP(Växthusgasberäkning!$D$23,Indata!$1:$1048576,4,FALSE))</f>
        <v>1.9172026555023921E-2</v>
      </c>
      <c r="O160" s="142" t="s">
        <v>285</v>
      </c>
      <c r="P160" s="142"/>
      <c r="Q160" s="142"/>
    </row>
    <row r="161" spans="1:19" s="287" customFormat="1" x14ac:dyDescent="0.25">
      <c r="A161" s="316"/>
      <c r="B161" s="131"/>
      <c r="C161" s="131"/>
      <c r="D161" s="131"/>
      <c r="E161" s="131"/>
      <c r="F161" s="131"/>
      <c r="G161" s="132"/>
      <c r="H161" s="132"/>
      <c r="I161" s="132"/>
      <c r="J161" s="132"/>
      <c r="K161" s="142"/>
      <c r="L161" s="142"/>
      <c r="M161" s="142" t="s">
        <v>288</v>
      </c>
      <c r="N161" s="101">
        <f>IF($D$23="Eget värmevärde",(VLOOKUP(D157,Indata!$1:$1048576,22,FALSE)*VLOOKUP(Växthusgasberäkning!D156,Indata!$1:$1048576,9,FALSE)*Växthusgasberäkning!D158)/VLOOKUP(D156,Indata!$1:$1048576,7,FALSE)/$G$23,(VLOOKUP(D157,Indata!$1:$1048576,22,FALSE)*VLOOKUP(Växthusgasberäkning!D156,Indata!$1:$1048576,9,FALSE)*Växthusgasberäkning!D158)/VLOOKUP(D156,Indata!$1:$1048576,7,FALSE)/VLOOKUP(Växthusgasberäkning!$D$23,Indata!$1:$1048576,4,FALSE))</f>
        <v>1.0598468612440192E-2</v>
      </c>
      <c r="O161" s="142" t="s">
        <v>285</v>
      </c>
      <c r="P161" s="142"/>
      <c r="Q161" s="142"/>
    </row>
    <row r="162" spans="1:19" s="287" customFormat="1" x14ac:dyDescent="0.25">
      <c r="A162" s="316"/>
      <c r="B162" s="131"/>
      <c r="C162" s="131"/>
      <c r="D162" s="131"/>
      <c r="E162" s="131"/>
      <c r="F162" s="131"/>
      <c r="G162" s="132"/>
      <c r="H162" s="132"/>
      <c r="I162" s="132"/>
      <c r="J162" s="132"/>
      <c r="K162" s="142"/>
      <c r="L162" s="142"/>
      <c r="M162" s="142"/>
      <c r="N162" s="142"/>
      <c r="O162" s="142"/>
      <c r="P162" s="142"/>
      <c r="Q162" s="142"/>
    </row>
    <row r="163" spans="1:19" s="287" customFormat="1" x14ac:dyDescent="0.25">
      <c r="A163" s="316"/>
      <c r="B163" s="130"/>
      <c r="C163" s="130"/>
      <c r="D163" s="131"/>
      <c r="E163" s="131"/>
      <c r="F163" s="131"/>
      <c r="G163" s="132"/>
      <c r="H163" s="132"/>
      <c r="I163" s="132"/>
      <c r="J163" s="132"/>
      <c r="K163" s="142"/>
      <c r="L163" s="142"/>
      <c r="M163" s="142" t="s">
        <v>284</v>
      </c>
      <c r="N163" s="101">
        <f>IF(D153="Vägtransport",(N161+N160),0)</f>
        <v>2.9770495167464113E-2</v>
      </c>
      <c r="O163" s="142" t="s">
        <v>285</v>
      </c>
      <c r="P163" s="142" t="str">
        <f>IF($N$119&lt;0.1,"Emissionerna understiger 0.1 g CO2eq/MJ","")</f>
        <v>Emissionerna understiger 0.1 g CO2eq/MJ</v>
      </c>
      <c r="Q163" s="142"/>
    </row>
    <row r="164" spans="1:19" s="287" customFormat="1" x14ac:dyDescent="0.25">
      <c r="A164" s="316"/>
      <c r="B164" s="130"/>
      <c r="C164" s="130"/>
      <c r="D164" s="131"/>
      <c r="E164" s="131"/>
      <c r="F164" s="131"/>
      <c r="G164" s="132"/>
      <c r="H164" s="132"/>
      <c r="I164" s="132"/>
      <c r="J164" s="132"/>
      <c r="K164" s="142"/>
      <c r="L164" s="142"/>
      <c r="M164" s="142"/>
      <c r="N164" s="142"/>
      <c r="O164" s="142"/>
      <c r="P164" s="142"/>
      <c r="Q164" s="142"/>
    </row>
    <row r="165" spans="1:19" s="287" customFormat="1" ht="19.5" x14ac:dyDescent="0.3">
      <c r="A165" s="316"/>
      <c r="B165" s="185" t="s">
        <v>145</v>
      </c>
      <c r="C165" s="181"/>
      <c r="D165" s="181"/>
      <c r="E165" s="181"/>
      <c r="F165" s="181"/>
      <c r="G165" s="132"/>
      <c r="H165" s="132"/>
      <c r="I165" s="132"/>
      <c r="J165" s="132"/>
      <c r="K165" s="142"/>
      <c r="L165" s="142"/>
      <c r="M165" s="142"/>
      <c r="N165" s="142"/>
      <c r="O165" s="142"/>
      <c r="P165" s="142"/>
      <c r="Q165" s="142"/>
    </row>
    <row r="166" spans="1:19" s="287" customFormat="1" ht="19.5" x14ac:dyDescent="0.3">
      <c r="A166" s="316"/>
      <c r="B166" s="131" t="s">
        <v>245</v>
      </c>
      <c r="C166" s="143" t="s">
        <v>436</v>
      </c>
      <c r="D166" s="157" t="s">
        <v>540</v>
      </c>
      <c r="E166" s="181"/>
      <c r="F166" s="181"/>
      <c r="G166" s="144" t="s">
        <v>278</v>
      </c>
      <c r="H166" s="285">
        <f>Indata!$K$54</f>
        <v>2.4E-2</v>
      </c>
      <c r="I166" s="144" t="s">
        <v>13</v>
      </c>
      <c r="J166" s="132"/>
      <c r="K166" s="142"/>
      <c r="L166" s="142"/>
      <c r="M166" s="145" t="s">
        <v>295</v>
      </c>
      <c r="N166" s="70">
        <f>IF(D166="Eget avstånd",(H167*H166*VLOOKUP(D167,Indata!$1:$1048576,4,FALSE)),(500*H166*VLOOKUP(D167,Indata!$1:$1048576,4,FALSE)))</f>
        <v>491520</v>
      </c>
      <c r="O166" s="145" t="s">
        <v>8</v>
      </c>
      <c r="P166" s="142"/>
      <c r="Q166" s="142"/>
    </row>
    <row r="167" spans="1:19" s="287" customFormat="1" ht="19.5" x14ac:dyDescent="0.3">
      <c r="A167" s="316"/>
      <c r="B167" s="146" t="s">
        <v>296</v>
      </c>
      <c r="C167" s="143" t="s">
        <v>436</v>
      </c>
      <c r="D167" s="157" t="s">
        <v>298</v>
      </c>
      <c r="E167" s="181"/>
      <c r="F167" s="181"/>
      <c r="G167" s="144" t="s">
        <v>294</v>
      </c>
      <c r="H167" s="154" t="str">
        <f>IF(D166="Okänt","500",C169)</f>
        <v>500</v>
      </c>
      <c r="I167" s="144" t="s">
        <v>7</v>
      </c>
      <c r="J167" s="132"/>
      <c r="K167" s="142"/>
      <c r="L167" s="142"/>
      <c r="M167" s="145" t="s">
        <v>304</v>
      </c>
      <c r="N167" s="70">
        <f>N166*VLOOKUP(D167,Indata!$A$5:$W$99,3,FALSE)</f>
        <v>43326567.496570319</v>
      </c>
      <c r="O167" s="145" t="s">
        <v>128</v>
      </c>
      <c r="P167" s="142"/>
      <c r="Q167" s="142"/>
    </row>
    <row r="168" spans="1:19" s="287" customFormat="1" ht="19.5" x14ac:dyDescent="0.3">
      <c r="A168" s="316"/>
      <c r="B168" s="181"/>
      <c r="C168" s="181"/>
      <c r="D168" s="181"/>
      <c r="E168" s="181"/>
      <c r="F168" s="181"/>
      <c r="G168" s="144" t="s">
        <v>530</v>
      </c>
      <c r="H168" s="318" t="str">
        <f>Indata!$A$54</f>
        <v>coastal</v>
      </c>
      <c r="I168" s="319"/>
      <c r="J168" s="132"/>
      <c r="K168" s="142"/>
      <c r="L168" s="142"/>
      <c r="M168" s="145" t="s">
        <v>305</v>
      </c>
      <c r="N168" s="101">
        <f>N167/(VLOOKUP(H168,Indata!$A$5:$V$96,8,FALSE)*VLOOKUP(H168,Indata!$A$5:$V$96,7,FALSE)*H167)</f>
        <v>29.373944065471402</v>
      </c>
      <c r="O168" s="145" t="s">
        <v>14</v>
      </c>
      <c r="P168" s="142"/>
      <c r="Q168" s="142"/>
    </row>
    <row r="169" spans="1:19" s="287" customFormat="1" ht="19.5" x14ac:dyDescent="0.3">
      <c r="A169" s="316"/>
      <c r="B169" s="191" t="s">
        <v>541</v>
      </c>
      <c r="C169" s="320">
        <v>400</v>
      </c>
      <c r="D169" s="320"/>
      <c r="E169" s="270" t="s">
        <v>7</v>
      </c>
      <c r="F169" s="181"/>
      <c r="G169" s="132"/>
      <c r="H169" s="132"/>
      <c r="I169" s="132"/>
      <c r="J169" s="132"/>
      <c r="K169" s="142"/>
      <c r="L169" s="142"/>
      <c r="M169" s="142"/>
      <c r="N169" s="142"/>
      <c r="O169" s="142"/>
      <c r="P169" s="142"/>
      <c r="Q169" s="142"/>
    </row>
    <row r="170" spans="1:19" s="287" customFormat="1" ht="19.5" x14ac:dyDescent="0.3">
      <c r="A170" s="316"/>
      <c r="B170" s="131"/>
      <c r="C170" s="131"/>
      <c r="D170" s="131"/>
      <c r="E170" s="181"/>
      <c r="F170" s="181"/>
      <c r="G170" s="132"/>
      <c r="H170" s="132"/>
      <c r="I170" s="132"/>
      <c r="J170" s="132"/>
      <c r="K170" s="142"/>
      <c r="L170" s="142"/>
      <c r="M170" s="142" t="s">
        <v>284</v>
      </c>
      <c r="N170" s="101" t="str">
        <f>IF(D153= "Vägtransport","0",IF($D$23="Eget värmevärde",N168*H167/$G$23,N168*H167/VLOOKUP($D$23,Indata!$1:$1048576,4,FALSE)))</f>
        <v>0</v>
      </c>
      <c r="O170" s="142" t="s">
        <v>262</v>
      </c>
      <c r="P170" s="142" t="str">
        <f>IF(N170&lt;0.1,"Emissionerna understiger 0.1 g CO2eq/MJ","")</f>
        <v/>
      </c>
      <c r="Q170" s="142"/>
    </row>
    <row r="171" spans="1:19" s="287" customFormat="1" x14ac:dyDescent="0.25">
      <c r="A171" s="316"/>
    </row>
    <row r="172" spans="1:19" s="287" customFormat="1" x14ac:dyDescent="0.25">
      <c r="A172" s="316"/>
    </row>
    <row r="173" spans="1:19" s="287" customFormat="1" x14ac:dyDescent="0.25">
      <c r="A173" s="216"/>
    </row>
    <row r="174" spans="1:19" s="287" customFormat="1" ht="23.25" x14ac:dyDescent="0.35">
      <c r="A174" s="216"/>
      <c r="B174" s="129" t="s">
        <v>664</v>
      </c>
    </row>
    <row r="175" spans="1:19" s="287" customFormat="1" ht="19.5" x14ac:dyDescent="0.3">
      <c r="A175" s="316" t="s">
        <v>537</v>
      </c>
      <c r="B175" s="317"/>
      <c r="C175" s="317"/>
      <c r="D175" s="317"/>
      <c r="E175" s="317"/>
      <c r="F175" s="317"/>
      <c r="G175" s="288"/>
      <c r="H175" s="288"/>
      <c r="I175" s="288"/>
      <c r="J175" s="288"/>
      <c r="K175" s="289"/>
      <c r="L175" s="289"/>
      <c r="M175" s="289"/>
      <c r="N175" s="289"/>
      <c r="O175" s="289"/>
      <c r="P175" s="289"/>
      <c r="Q175" s="289"/>
      <c r="S175" s="286"/>
    </row>
    <row r="176" spans="1:19" s="287" customFormat="1" x14ac:dyDescent="0.25">
      <c r="A176" s="316"/>
      <c r="B176" s="131" t="s">
        <v>225</v>
      </c>
      <c r="C176" s="143" t="s">
        <v>436</v>
      </c>
      <c r="D176" s="157">
        <v>4</v>
      </c>
      <c r="E176" s="131"/>
      <c r="F176" s="131"/>
      <c r="G176" s="132"/>
      <c r="H176" s="132"/>
      <c r="I176" s="132"/>
      <c r="J176" s="132"/>
      <c r="K176" s="142"/>
      <c r="L176" s="142"/>
      <c r="M176" s="142"/>
      <c r="N176" s="142"/>
      <c r="O176" s="142"/>
      <c r="P176" s="142"/>
      <c r="Q176" s="142"/>
    </row>
    <row r="177" spans="1:17" s="287" customFormat="1" x14ac:dyDescent="0.25">
      <c r="A177" s="316"/>
      <c r="B177" s="143"/>
      <c r="C177" s="143"/>
      <c r="D177" s="131"/>
      <c r="E177" s="131"/>
      <c r="F177" s="131"/>
      <c r="G177" s="144" t="s">
        <v>236</v>
      </c>
      <c r="H177" s="154">
        <f>D176</f>
        <v>4</v>
      </c>
      <c r="I177" s="144" t="s">
        <v>374</v>
      </c>
      <c r="J177" s="132"/>
      <c r="K177" s="142"/>
      <c r="L177" s="142"/>
      <c r="M177" s="142"/>
      <c r="N177" s="142"/>
      <c r="O177" s="142"/>
      <c r="P177" s="142"/>
      <c r="Q177" s="142"/>
    </row>
    <row r="178" spans="1:17" s="287" customFormat="1" x14ac:dyDescent="0.25">
      <c r="A178" s="316"/>
      <c r="B178" s="131" t="s">
        <v>222</v>
      </c>
      <c r="C178" s="143" t="s">
        <v>436</v>
      </c>
      <c r="D178" s="157" t="s">
        <v>314</v>
      </c>
      <c r="E178" s="131"/>
      <c r="F178" s="131"/>
      <c r="G178" s="144" t="s">
        <v>371</v>
      </c>
      <c r="H178" s="136">
        <v>4</v>
      </c>
      <c r="I178" s="132"/>
      <c r="J178" s="132"/>
      <c r="K178" s="142"/>
      <c r="L178" s="142"/>
      <c r="M178" s="142"/>
      <c r="N178" s="142"/>
      <c r="O178" s="142"/>
      <c r="P178" s="142"/>
      <c r="Q178" s="142"/>
    </row>
    <row r="179" spans="1:17" s="287" customFormat="1" x14ac:dyDescent="0.25">
      <c r="A179" s="316"/>
      <c r="B179" s="131"/>
      <c r="C179" s="131"/>
      <c r="D179" s="131"/>
      <c r="E179" s="131"/>
      <c r="F179" s="131"/>
      <c r="G179" s="144" t="s">
        <v>415</v>
      </c>
      <c r="H179" s="118">
        <f>IF(D178="Medel",9000,IF(D178="liten",2000,IF(D178="stor",30000,IF(D178="Okänd cisterntyp",9000))))</f>
        <v>9000</v>
      </c>
      <c r="I179" s="144" t="s">
        <v>417</v>
      </c>
      <c r="J179" s="160"/>
      <c r="K179" s="142"/>
      <c r="L179" s="142"/>
      <c r="M179" s="142"/>
      <c r="N179" s="142"/>
      <c r="O179" s="142"/>
      <c r="P179" s="142"/>
      <c r="Q179" s="142"/>
    </row>
    <row r="180" spans="1:17" s="287" customFormat="1" x14ac:dyDescent="0.25">
      <c r="A180" s="316"/>
      <c r="B180" s="131" t="s">
        <v>224</v>
      </c>
      <c r="C180" s="143" t="s">
        <v>436</v>
      </c>
      <c r="D180" s="157" t="s">
        <v>183</v>
      </c>
      <c r="E180" s="131"/>
      <c r="F180" s="131"/>
      <c r="G180" s="144" t="s">
        <v>224</v>
      </c>
      <c r="H180" s="136" t="str">
        <f>D180</f>
        <v>Okänd</v>
      </c>
      <c r="I180" s="132"/>
      <c r="J180" s="132"/>
      <c r="K180" s="142"/>
      <c r="L180" s="142"/>
      <c r="M180" s="142" t="s">
        <v>372</v>
      </c>
      <c r="N180" s="101">
        <f>IF(D178="Medel",VLOOKUP(D180,Indata!$B$74:$C$78,2,FALSE),IF(D178="liten",VLOOKUP(D180,Indata!$B$80:$C$84,2,FALSE),IF(D178="stor",VLOOKUP(D180,Indata!$B$86:$C$90,2,FALSE),IF(D178="Okänd cisterntyp",VLOOKUP(D180,Indata!$B$74:$C$78,2,FALSE)))))</f>
        <v>4.9807169129616032E-2</v>
      </c>
      <c r="O180" s="142" t="s">
        <v>373</v>
      </c>
      <c r="P180" s="142"/>
      <c r="Q180" s="142"/>
    </row>
    <row r="181" spans="1:17" s="287" customFormat="1" ht="18" x14ac:dyDescent="0.35">
      <c r="A181" s="316"/>
      <c r="B181" s="131"/>
      <c r="C181" s="131"/>
      <c r="D181" s="131"/>
      <c r="E181" s="131"/>
      <c r="F181" s="131"/>
      <c r="G181" s="132"/>
      <c r="H181" s="132"/>
      <c r="I181" s="132"/>
      <c r="J181" s="132"/>
      <c r="K181" s="142"/>
      <c r="L181" s="142"/>
      <c r="M181" s="142" t="s">
        <v>284</v>
      </c>
      <c r="N181" s="101">
        <f>IF(D176="Okänd",4*N180,N180*D176)</f>
        <v>0.19922867651846413</v>
      </c>
      <c r="O181" s="142" t="s">
        <v>197</v>
      </c>
      <c r="P181" s="142" t="str">
        <f>IF(N181&lt;0.1,"Emissionerna understiger 0.1 g CO2eq/MJ","")</f>
        <v/>
      </c>
      <c r="Q181" s="142"/>
    </row>
    <row r="182" spans="1:17" s="287" customFormat="1" ht="18.75" customHeight="1" x14ac:dyDescent="0.25">
      <c r="A182" s="316"/>
    </row>
    <row r="183" spans="1:17" x14ac:dyDescent="0.25">
      <c r="C183"/>
    </row>
    <row r="184" spans="1:17" s="287" customFormat="1" ht="23.25" x14ac:dyDescent="0.35">
      <c r="A184" s="286"/>
      <c r="B184" s="148" t="s">
        <v>661</v>
      </c>
    </row>
    <row r="185" spans="1:17" s="287" customFormat="1" x14ac:dyDescent="0.25">
      <c r="A185" s="316" t="s">
        <v>528</v>
      </c>
      <c r="B185" s="186"/>
      <c r="C185" s="143"/>
      <c r="D185" s="131"/>
      <c r="E185" s="131"/>
      <c r="F185" s="131"/>
      <c r="G185" s="132"/>
      <c r="H185" s="132"/>
      <c r="I185" s="132"/>
      <c r="J185" s="132"/>
      <c r="K185" s="142"/>
      <c r="L185" s="142"/>
      <c r="M185" s="142"/>
      <c r="N185" s="142"/>
      <c r="O185" s="142"/>
      <c r="P185" s="142"/>
      <c r="Q185" s="142"/>
    </row>
    <row r="186" spans="1:17" s="287" customFormat="1" ht="18" x14ac:dyDescent="0.35">
      <c r="A186" s="316"/>
      <c r="B186" s="143"/>
      <c r="C186" s="131"/>
      <c r="D186" s="131"/>
      <c r="E186" s="131"/>
      <c r="F186" s="131"/>
      <c r="G186" s="144" t="s">
        <v>280</v>
      </c>
      <c r="H186" s="169" t="str">
        <f>D187</f>
        <v>Stor tankbil</v>
      </c>
      <c r="I186" s="132"/>
      <c r="J186" s="132"/>
      <c r="K186" s="142"/>
      <c r="L186" s="142"/>
      <c r="M186" s="145" t="s">
        <v>286</v>
      </c>
      <c r="N186" s="101">
        <f>VLOOKUP(D188,Indata!$1:$1048576,22,FALSE)*(H188/D189)</f>
        <v>1202.086065</v>
      </c>
      <c r="O186" s="145" t="s">
        <v>283</v>
      </c>
      <c r="P186" s="142"/>
      <c r="Q186" s="142"/>
    </row>
    <row r="187" spans="1:17" s="287" customFormat="1" x14ac:dyDescent="0.25">
      <c r="A187" s="316"/>
      <c r="B187" s="131" t="s">
        <v>1</v>
      </c>
      <c r="C187" s="143" t="s">
        <v>436</v>
      </c>
      <c r="D187" s="157" t="s">
        <v>193</v>
      </c>
      <c r="E187" s="131"/>
      <c r="F187" s="131"/>
      <c r="G187" s="144" t="s">
        <v>385</v>
      </c>
      <c r="H187" s="169" t="str">
        <f>D188</f>
        <v>Diesel (5 % RME)</v>
      </c>
      <c r="I187" s="144" t="s">
        <v>389</v>
      </c>
      <c r="J187" s="132"/>
      <c r="K187" s="142"/>
      <c r="L187" s="142"/>
      <c r="M187" s="142"/>
      <c r="N187" s="142"/>
      <c r="O187" s="142"/>
      <c r="P187" s="142"/>
      <c r="Q187" s="142"/>
    </row>
    <row r="188" spans="1:17" s="287" customFormat="1" x14ac:dyDescent="0.25">
      <c r="A188" s="316"/>
      <c r="B188" s="146" t="s">
        <v>386</v>
      </c>
      <c r="C188" s="143" t="s">
        <v>436</v>
      </c>
      <c r="D188" s="157" t="s">
        <v>388</v>
      </c>
      <c r="E188" s="131"/>
      <c r="F188" s="131"/>
      <c r="G188" s="144" t="s">
        <v>278</v>
      </c>
      <c r="H188" s="170">
        <f>VLOOKUP(D187,Indata!$1:$1048576,10,FALSE)*D189</f>
        <v>22.25</v>
      </c>
      <c r="I188" s="144" t="s">
        <v>281</v>
      </c>
      <c r="J188" s="132"/>
      <c r="K188" s="142"/>
      <c r="L188" s="142"/>
      <c r="M188" s="142"/>
      <c r="N188" s="142"/>
      <c r="O188" s="142"/>
      <c r="P188" s="142"/>
      <c r="Q188" s="142"/>
    </row>
    <row r="189" spans="1:17" s="287" customFormat="1" x14ac:dyDescent="0.25">
      <c r="A189" s="316"/>
      <c r="B189" s="146" t="s">
        <v>279</v>
      </c>
      <c r="C189" s="143"/>
      <c r="D189" s="157">
        <v>50</v>
      </c>
      <c r="E189" s="146" t="s">
        <v>7</v>
      </c>
      <c r="F189" s="131"/>
      <c r="G189" s="132"/>
      <c r="H189" s="170">
        <f>VLOOKUP(D187,Indata!$1:$1048576,9,FALSE)*D189</f>
        <v>12.3</v>
      </c>
      <c r="I189" s="144" t="s">
        <v>282</v>
      </c>
      <c r="J189" s="132"/>
      <c r="K189" s="142"/>
      <c r="L189" s="142"/>
      <c r="M189" s="142"/>
      <c r="N189" s="142"/>
      <c r="O189" s="142"/>
      <c r="P189" s="142"/>
      <c r="Q189" s="142"/>
    </row>
    <row r="190" spans="1:17" s="287" customFormat="1" x14ac:dyDescent="0.25">
      <c r="A190" s="316"/>
      <c r="B190" s="131"/>
      <c r="C190" s="131"/>
      <c r="D190" s="131"/>
      <c r="E190" s="131"/>
      <c r="F190" s="131"/>
      <c r="G190" s="144" t="s">
        <v>2</v>
      </c>
      <c r="H190" s="169">
        <f>D189</f>
        <v>50</v>
      </c>
      <c r="I190" s="144" t="s">
        <v>7</v>
      </c>
      <c r="J190" s="132"/>
      <c r="K190" s="142"/>
      <c r="L190" s="142"/>
      <c r="M190" s="142"/>
      <c r="N190" s="142"/>
      <c r="O190" s="142"/>
      <c r="P190" s="142"/>
      <c r="Q190" s="142"/>
    </row>
    <row r="191" spans="1:17" s="287" customFormat="1" ht="18" x14ac:dyDescent="0.35">
      <c r="A191" s="316"/>
      <c r="B191" s="131"/>
      <c r="C191" s="131"/>
      <c r="D191" s="131"/>
      <c r="E191" s="131"/>
      <c r="F191" s="131"/>
      <c r="G191" s="144" t="s">
        <v>437</v>
      </c>
      <c r="H191" s="158">
        <f>IF(D188="RME (100 %)","-",VLOOKUP(D188,Indata!$1:$1048576,22,FALSE))</f>
        <v>2701.317</v>
      </c>
      <c r="I191" s="144" t="s">
        <v>390</v>
      </c>
      <c r="J191" s="132"/>
      <c r="K191" s="142"/>
      <c r="L191" s="142"/>
      <c r="M191" s="142" t="s">
        <v>287</v>
      </c>
      <c r="N191" s="101">
        <f>IF($D$23= "Eget värmevärde",(VLOOKUP(D188,Indata!$1:$1048576,22,FALSE)*VLOOKUP(Växthusgasberäkning!D187,Indata!$1:$1048576,10,FALSE)*Växthusgasberäkning!D189)/VLOOKUP(D187,Indata!$1:$1048576,7,FALSE)/$G$23,(VLOOKUP(D188,Indata!$1:$1048576,22,FALSE)*VLOOKUP(Växthusgasberäkning!D187,Indata!$1:$1048576,10,FALSE)*Växthusgasberäkning!D189)/VLOOKUP(D187,Indata!$1:$1048576,7,FALSE)/VLOOKUP(Växthusgasberäkning!$D$23,Indata!$1:$1048576,4,FALSE))</f>
        <v>4.7930066387559804E-2</v>
      </c>
      <c r="O191" s="142" t="s">
        <v>285</v>
      </c>
      <c r="P191" s="142"/>
      <c r="Q191" s="142"/>
    </row>
    <row r="192" spans="1:17" s="287" customFormat="1" x14ac:dyDescent="0.25">
      <c r="A192" s="316"/>
      <c r="B192" s="131"/>
      <c r="C192" s="131"/>
      <c r="D192" s="131"/>
      <c r="E192" s="131"/>
      <c r="F192" s="131"/>
      <c r="G192" s="132"/>
      <c r="H192" s="132"/>
      <c r="I192" s="132"/>
      <c r="J192" s="132"/>
      <c r="K192" s="142"/>
      <c r="L192" s="142"/>
      <c r="M192" s="142" t="s">
        <v>288</v>
      </c>
      <c r="N192" s="101">
        <f>IF($D$23="Eget värmevärde",(VLOOKUP(D188,Indata!$1:$1048576,22,FALSE)*VLOOKUP(Växthusgasberäkning!D187,Indata!$1:$1048576,9,FALSE)*Växthusgasberäkning!D189)/VLOOKUP(D187,Indata!$1:$1048576,7,FALSE)/$G$23,(VLOOKUP(D188,Indata!$1:$1048576,22,FALSE)*VLOOKUP(Växthusgasberäkning!D187,Indata!$1:$1048576,9,FALSE)*Växthusgasberäkning!D189)/VLOOKUP(D187,Indata!$1:$1048576,7,FALSE)/VLOOKUP(Växthusgasberäkning!$D$23,Indata!$1:$1048576,4,FALSE))</f>
        <v>2.6496171531100482E-2</v>
      </c>
      <c r="O192" s="142" t="s">
        <v>285</v>
      </c>
      <c r="P192" s="142"/>
      <c r="Q192" s="142"/>
    </row>
    <row r="193" spans="1:19" s="287" customFormat="1" x14ac:dyDescent="0.25">
      <c r="A193" s="316"/>
      <c r="B193" s="131"/>
      <c r="C193" s="131"/>
      <c r="D193" s="131"/>
      <c r="E193" s="131"/>
      <c r="F193" s="131"/>
      <c r="G193" s="132"/>
      <c r="H193" s="132"/>
      <c r="I193" s="132"/>
      <c r="J193" s="132"/>
      <c r="K193" s="142"/>
      <c r="L193" s="142"/>
      <c r="M193" s="142"/>
      <c r="N193" s="142"/>
      <c r="O193" s="142"/>
      <c r="P193" s="142"/>
      <c r="Q193" s="142"/>
    </row>
    <row r="194" spans="1:19" s="287" customFormat="1" x14ac:dyDescent="0.25">
      <c r="A194" s="316"/>
      <c r="B194" s="130"/>
      <c r="C194" s="130"/>
      <c r="D194" s="131"/>
      <c r="E194" s="131"/>
      <c r="F194" s="131"/>
      <c r="G194" s="132"/>
      <c r="H194" s="132"/>
      <c r="I194" s="132"/>
      <c r="J194" s="132"/>
      <c r="K194" s="142"/>
      <c r="L194" s="142"/>
      <c r="M194" s="142" t="s">
        <v>284</v>
      </c>
      <c r="N194" s="101">
        <f>(N192+N191)</f>
        <v>7.4426237918660293E-2</v>
      </c>
      <c r="O194" s="142" t="s">
        <v>285</v>
      </c>
      <c r="P194" s="142" t="str">
        <f>IF(N194&lt;0.1,"Emissionerna understiger 0.1 g CO2eq/MJ","")</f>
        <v>Emissionerna understiger 0.1 g CO2eq/MJ</v>
      </c>
      <c r="Q194" s="142"/>
    </row>
    <row r="195" spans="1:19" s="287" customFormat="1" x14ac:dyDescent="0.25">
      <c r="A195" s="316"/>
    </row>
    <row r="196" spans="1:19" x14ac:dyDescent="0.25">
      <c r="C196"/>
    </row>
    <row r="197" spans="1:19" s="287" customFormat="1" ht="23.25" x14ac:dyDescent="0.35">
      <c r="A197" s="286"/>
      <c r="B197" s="148" t="s">
        <v>662</v>
      </c>
      <c r="C197" s="148"/>
      <c r="D197" s="149"/>
      <c r="E197" s="149"/>
      <c r="F197" s="149"/>
      <c r="G197" s="149"/>
      <c r="H197" s="149"/>
      <c r="I197" s="149"/>
      <c r="J197" s="149"/>
      <c r="K197" s="149"/>
      <c r="L197" s="149"/>
      <c r="M197" s="149"/>
      <c r="N197" s="149"/>
      <c r="O197" s="149"/>
      <c r="P197" s="149"/>
      <c r="Q197" s="286"/>
      <c r="R197" s="286"/>
    </row>
    <row r="198" spans="1:19" s="287" customFormat="1" ht="19.5" x14ac:dyDescent="0.3">
      <c r="A198" s="316" t="s">
        <v>537</v>
      </c>
      <c r="B198" s="317"/>
      <c r="C198" s="317"/>
      <c r="D198" s="317"/>
      <c r="E198" s="317"/>
      <c r="F198" s="317"/>
      <c r="G198" s="288"/>
      <c r="H198" s="288"/>
      <c r="I198" s="288"/>
      <c r="J198" s="288"/>
      <c r="K198" s="289"/>
      <c r="L198" s="289"/>
      <c r="M198" s="289"/>
      <c r="N198" s="289"/>
      <c r="O198" s="289"/>
      <c r="P198" s="289"/>
      <c r="Q198" s="289"/>
      <c r="S198" s="286"/>
    </row>
    <row r="199" spans="1:19" s="287" customFormat="1" x14ac:dyDescent="0.25">
      <c r="A199" s="316"/>
      <c r="B199" s="131" t="s">
        <v>225</v>
      </c>
      <c r="C199" s="143" t="s">
        <v>436</v>
      </c>
      <c r="D199" s="157">
        <v>4</v>
      </c>
      <c r="E199" s="131"/>
      <c r="F199" s="131"/>
      <c r="G199" s="132"/>
      <c r="H199" s="132"/>
      <c r="I199" s="132"/>
      <c r="J199" s="132"/>
      <c r="K199" s="142"/>
      <c r="L199" s="142"/>
      <c r="M199" s="142"/>
      <c r="N199" s="142"/>
      <c r="O199" s="142"/>
      <c r="P199" s="142"/>
      <c r="Q199" s="142"/>
    </row>
    <row r="200" spans="1:19" s="287" customFormat="1" x14ac:dyDescent="0.25">
      <c r="A200" s="316"/>
      <c r="B200" s="143"/>
      <c r="C200" s="143"/>
      <c r="D200" s="131"/>
      <c r="E200" s="131"/>
      <c r="F200" s="131"/>
      <c r="G200" s="144" t="s">
        <v>236</v>
      </c>
      <c r="H200" s="154">
        <f>D199</f>
        <v>4</v>
      </c>
      <c r="I200" s="144" t="s">
        <v>374</v>
      </c>
      <c r="J200" s="132"/>
      <c r="K200" s="142"/>
      <c r="L200" s="142"/>
      <c r="M200" s="142"/>
      <c r="N200" s="142"/>
      <c r="O200" s="142"/>
      <c r="P200" s="142"/>
      <c r="Q200" s="142"/>
    </row>
    <row r="201" spans="1:19" s="287" customFormat="1" x14ac:dyDescent="0.25">
      <c r="A201" s="316"/>
      <c r="B201" s="131" t="s">
        <v>222</v>
      </c>
      <c r="C201" s="143" t="s">
        <v>436</v>
      </c>
      <c r="D201" s="157" t="s">
        <v>314</v>
      </c>
      <c r="E201" s="131"/>
      <c r="F201" s="131"/>
      <c r="G201" s="144" t="s">
        <v>371</v>
      </c>
      <c r="H201" s="136">
        <v>4</v>
      </c>
      <c r="I201" s="132"/>
      <c r="J201" s="132"/>
      <c r="K201" s="142"/>
      <c r="L201" s="142"/>
      <c r="M201" s="142"/>
      <c r="N201" s="142"/>
      <c r="O201" s="142"/>
      <c r="P201" s="142"/>
      <c r="Q201" s="142"/>
    </row>
    <row r="202" spans="1:19" s="287" customFormat="1" x14ac:dyDescent="0.25">
      <c r="A202" s="316"/>
      <c r="B202" s="131"/>
      <c r="C202" s="131"/>
      <c r="D202" s="131"/>
      <c r="E202" s="131"/>
      <c r="F202" s="131"/>
      <c r="G202" s="144" t="s">
        <v>415</v>
      </c>
      <c r="H202" s="118">
        <f>IF(D201="Medel",9000,IF(D201="liten",2000,IF(D201="stor",30000,IF(D201="Okänd cisterntyp",9000))))</f>
        <v>9000</v>
      </c>
      <c r="I202" s="144" t="s">
        <v>417</v>
      </c>
      <c r="J202" s="160"/>
      <c r="K202" s="142"/>
      <c r="L202" s="142"/>
      <c r="M202" s="142"/>
      <c r="N202" s="142"/>
      <c r="O202" s="142"/>
      <c r="P202" s="142"/>
      <c r="Q202" s="142"/>
    </row>
    <row r="203" spans="1:19" s="287" customFormat="1" x14ac:dyDescent="0.25">
      <c r="A203" s="316"/>
      <c r="B203" s="131" t="s">
        <v>224</v>
      </c>
      <c r="C203" s="143" t="s">
        <v>436</v>
      </c>
      <c r="D203" s="157" t="s">
        <v>183</v>
      </c>
      <c r="E203" s="131"/>
      <c r="F203" s="131"/>
      <c r="G203" s="144" t="s">
        <v>224</v>
      </c>
      <c r="H203" s="136" t="str">
        <f>D203</f>
        <v>Okänd</v>
      </c>
      <c r="I203" s="132"/>
      <c r="J203" s="132"/>
      <c r="K203" s="142"/>
      <c r="L203" s="142"/>
      <c r="M203" s="142" t="s">
        <v>372</v>
      </c>
      <c r="N203" s="101">
        <f>IF(D201="Medel",VLOOKUP(D203,Indata!$B$74:$C$78,2,FALSE),IF(D201="liten",VLOOKUP(D203,Indata!$B$80:$C$84,2,FALSE),IF(D201="stor",VLOOKUP(D203,Indata!$B$86:$C$90,2,FALSE),IF(D201="Okänd cisterntyp",VLOOKUP(D203,Indata!$B$74:$C$78,2,FALSE)))))</f>
        <v>4.9807169129616032E-2</v>
      </c>
      <c r="O203" s="142" t="s">
        <v>373</v>
      </c>
      <c r="P203" s="142"/>
      <c r="Q203" s="142"/>
    </row>
    <row r="204" spans="1:19" s="287" customFormat="1" ht="18" x14ac:dyDescent="0.35">
      <c r="A204" s="316"/>
      <c r="B204" s="131"/>
      <c r="C204" s="131"/>
      <c r="D204" s="131"/>
      <c r="E204" s="131"/>
      <c r="F204" s="131"/>
      <c r="G204" s="132"/>
      <c r="H204" s="132"/>
      <c r="I204" s="132"/>
      <c r="J204" s="132"/>
      <c r="K204" s="142"/>
      <c r="L204" s="142"/>
      <c r="M204" s="142" t="s">
        <v>284</v>
      </c>
      <c r="N204" s="101">
        <f>IF(D199="Okänd",4*N203,N203*D199)</f>
        <v>0.19922867651846413</v>
      </c>
      <c r="O204" s="142" t="s">
        <v>197</v>
      </c>
      <c r="P204" s="142" t="str">
        <f>IF(N204&lt;0.1,"Emissionerna understiger 0.1 g CO2eq/MJ","")</f>
        <v/>
      </c>
      <c r="Q204" s="142"/>
    </row>
    <row r="205" spans="1:19" s="287" customFormat="1" ht="18.75" customHeight="1" x14ac:dyDescent="0.25">
      <c r="A205" s="316"/>
    </row>
    <row r="206" spans="1:19" x14ac:dyDescent="0.25">
      <c r="C206"/>
    </row>
    <row r="207" spans="1:19" x14ac:dyDescent="0.25">
      <c r="C207"/>
    </row>
    <row r="208" spans="1:19" x14ac:dyDescent="0.25">
      <c r="C208"/>
    </row>
  </sheetData>
  <sheetProtection password="EA8D" sheet="1" objects="1" scenarios="1"/>
  <mergeCells count="2074">
    <mergeCell ref="XCW146:XCW148"/>
    <mergeCell ref="XDE146:XDE148"/>
    <mergeCell ref="XDM146:XDM148"/>
    <mergeCell ref="XDU146:XDU148"/>
    <mergeCell ref="XEC146:XEC148"/>
    <mergeCell ref="XEK146:XEK148"/>
    <mergeCell ref="XES146:XES148"/>
    <mergeCell ref="XFA146:XFA148"/>
    <mergeCell ref="WWS146:WWS148"/>
    <mergeCell ref="WXA146:WXA148"/>
    <mergeCell ref="WXI146:WXI148"/>
    <mergeCell ref="WXQ146:WXQ148"/>
    <mergeCell ref="WXY146:WXY148"/>
    <mergeCell ref="WYG146:WYG148"/>
    <mergeCell ref="WYO146:WYO148"/>
    <mergeCell ref="WYW146:WYW148"/>
    <mergeCell ref="WZE146:WZE148"/>
    <mergeCell ref="WZM146:WZM148"/>
    <mergeCell ref="WZU146:WZU148"/>
    <mergeCell ref="XAC146:XAC148"/>
    <mergeCell ref="XAK146:XAK148"/>
    <mergeCell ref="XAS146:XAS148"/>
    <mergeCell ref="XBA146:XBA148"/>
    <mergeCell ref="XBI146:XBI148"/>
    <mergeCell ref="XBQ146:XBQ148"/>
    <mergeCell ref="WOS146:WOS148"/>
    <mergeCell ref="WPA146:WPA148"/>
    <mergeCell ref="WPI146:WPI148"/>
    <mergeCell ref="WPQ146:WPQ148"/>
    <mergeCell ref="WPY146:WPY148"/>
    <mergeCell ref="WQG146:WQG148"/>
    <mergeCell ref="WQO146:WQO148"/>
    <mergeCell ref="WQW146:WQW148"/>
    <mergeCell ref="WRE146:WRE148"/>
    <mergeCell ref="WRM146:WRM148"/>
    <mergeCell ref="WRU146:WRU148"/>
    <mergeCell ref="WSC146:WSC148"/>
    <mergeCell ref="WSK146:WSK148"/>
    <mergeCell ref="WNU146:WNU148"/>
    <mergeCell ref="XBY146:XBY148"/>
    <mergeCell ref="XCG146:XCG148"/>
    <mergeCell ref="XCO146:XCO148"/>
    <mergeCell ref="WTI146:WTI148"/>
    <mergeCell ref="WTQ146:WTQ148"/>
    <mergeCell ref="WTY146:WTY148"/>
    <mergeCell ref="WUG146:WUG148"/>
    <mergeCell ref="WUO146:WUO148"/>
    <mergeCell ref="WUW146:WUW148"/>
    <mergeCell ref="WVE146:WVE148"/>
    <mergeCell ref="WVM146:WVM148"/>
    <mergeCell ref="WVU146:WVU148"/>
    <mergeCell ref="WWC146:WWC148"/>
    <mergeCell ref="WWK146:WWK148"/>
    <mergeCell ref="WSS146:WSS148"/>
    <mergeCell ref="WTA146:WTA148"/>
    <mergeCell ref="WOC146:WOC148"/>
    <mergeCell ref="WOK146:WOK148"/>
    <mergeCell ref="VPM146:VPM148"/>
    <mergeCell ref="VPU146:VPU148"/>
    <mergeCell ref="VQC146:VQC148"/>
    <mergeCell ref="VQK146:VQK148"/>
    <mergeCell ref="VQS146:VQS148"/>
    <mergeCell ref="VRA146:VRA148"/>
    <mergeCell ref="VRI146:VRI148"/>
    <mergeCell ref="VRQ146:VRQ148"/>
    <mergeCell ref="VRY146:VRY148"/>
    <mergeCell ref="VSG146:VSG148"/>
    <mergeCell ref="VSO146:VSO148"/>
    <mergeCell ref="VSW146:VSW148"/>
    <mergeCell ref="VTE146:VTE148"/>
    <mergeCell ref="VTM146:VTM148"/>
    <mergeCell ref="VTU146:VTU148"/>
    <mergeCell ref="VLU146:VLU148"/>
    <mergeCell ref="VMC146:VMC148"/>
    <mergeCell ref="VMK146:VMK148"/>
    <mergeCell ref="VMS146:VMS148"/>
    <mergeCell ref="VNA146:VNA148"/>
    <mergeCell ref="VNI146:VNI148"/>
    <mergeCell ref="VNQ146:VNQ148"/>
    <mergeCell ref="VNY146:VNY148"/>
    <mergeCell ref="VOG146:VOG148"/>
    <mergeCell ref="VOO146:VOO148"/>
    <mergeCell ref="VOW146:VOW148"/>
    <mergeCell ref="VPE146:VPE148"/>
    <mergeCell ref="UWS146:UWS148"/>
    <mergeCell ref="UXA146:UXA148"/>
    <mergeCell ref="UXI146:UXI148"/>
    <mergeCell ref="UXQ146:UXQ148"/>
    <mergeCell ref="UXY146:UXY148"/>
    <mergeCell ref="UYG146:UYG148"/>
    <mergeCell ref="UYO146:UYO148"/>
    <mergeCell ref="UYW146:UYW148"/>
    <mergeCell ref="UZE146:UZE148"/>
    <mergeCell ref="UZM146:UZM148"/>
    <mergeCell ref="UZU146:UZU148"/>
    <mergeCell ref="VAC146:VAC148"/>
    <mergeCell ref="VAK146:VAK148"/>
    <mergeCell ref="VAS146:VAS148"/>
    <mergeCell ref="VBA146:VBA148"/>
    <mergeCell ref="VHU146:VHU148"/>
    <mergeCell ref="VIC146:VIC148"/>
    <mergeCell ref="VBI146:VBI148"/>
    <mergeCell ref="VBQ146:VBQ148"/>
    <mergeCell ref="VBY146:VBY148"/>
    <mergeCell ref="VCG146:VCG148"/>
    <mergeCell ref="VCO146:VCO148"/>
    <mergeCell ref="VCW146:VCW148"/>
    <mergeCell ref="TXU146:TXU148"/>
    <mergeCell ref="TYC146:TYC148"/>
    <mergeCell ref="TYK146:TYK148"/>
    <mergeCell ref="TYS146:TYS148"/>
    <mergeCell ref="TZA146:TZA148"/>
    <mergeCell ref="TZI146:TZI148"/>
    <mergeCell ref="TZQ146:TZQ148"/>
    <mergeCell ref="TZY146:TZY148"/>
    <mergeCell ref="UAG146:UAG148"/>
    <mergeCell ref="UAO146:UAO148"/>
    <mergeCell ref="UAW146:UAW148"/>
    <mergeCell ref="UBE146:UBE148"/>
    <mergeCell ref="UBM146:UBM148"/>
    <mergeCell ref="UBU146:UBU148"/>
    <mergeCell ref="UCC146:UCC148"/>
    <mergeCell ref="UVM146:UVM148"/>
    <mergeCell ref="UVU146:UVU148"/>
    <mergeCell ref="UCK146:UCK148"/>
    <mergeCell ref="UCS146:UCS148"/>
    <mergeCell ref="UDA146:UDA148"/>
    <mergeCell ref="UDI146:UDI148"/>
    <mergeCell ref="UDQ146:UDQ148"/>
    <mergeCell ref="UDY146:UDY148"/>
    <mergeCell ref="UEG146:UEG148"/>
    <mergeCell ref="UJU146:UJU148"/>
    <mergeCell ref="UKC146:UKC148"/>
    <mergeCell ref="UKK146:UKK148"/>
    <mergeCell ref="UKS146:UKS148"/>
    <mergeCell ref="ULA146:ULA148"/>
    <mergeCell ref="ULI146:ULI148"/>
    <mergeCell ref="ULQ146:ULQ148"/>
    <mergeCell ref="ULY146:ULY148"/>
    <mergeCell ref="TAK146:TAK148"/>
    <mergeCell ref="TAS146:TAS148"/>
    <mergeCell ref="TBA146:TBA148"/>
    <mergeCell ref="TBI146:TBI148"/>
    <mergeCell ref="TBQ146:TBQ148"/>
    <mergeCell ref="TBY146:TBY148"/>
    <mergeCell ref="TCG146:TCG148"/>
    <mergeCell ref="TCO146:TCO148"/>
    <mergeCell ref="TCW146:TCW148"/>
    <mergeCell ref="TDE146:TDE148"/>
    <mergeCell ref="TDM146:TDM148"/>
    <mergeCell ref="TDU146:TDU148"/>
    <mergeCell ref="TEC146:TEC148"/>
    <mergeCell ref="TEK146:TEK148"/>
    <mergeCell ref="TES146:TES148"/>
    <mergeCell ref="TWW146:TWW148"/>
    <mergeCell ref="TXE146:TXE148"/>
    <mergeCell ref="TFA146:TFA148"/>
    <mergeCell ref="TFI146:TFI148"/>
    <mergeCell ref="TFQ146:TFQ148"/>
    <mergeCell ref="TLE146:TLE148"/>
    <mergeCell ref="TLM146:TLM148"/>
    <mergeCell ref="TLU146:TLU148"/>
    <mergeCell ref="TMC146:TMC148"/>
    <mergeCell ref="TMK146:TMK148"/>
    <mergeCell ref="TMS146:TMS148"/>
    <mergeCell ref="TNA146:TNA148"/>
    <mergeCell ref="TKO146:TKO148"/>
    <mergeCell ref="TKW146:TKW148"/>
    <mergeCell ref="TNI146:TNI148"/>
    <mergeCell ref="TNQ146:TNQ148"/>
    <mergeCell ref="TNY146:TNY148"/>
    <mergeCell ref="SBM146:SBM148"/>
    <mergeCell ref="SBU146:SBU148"/>
    <mergeCell ref="SCC146:SCC148"/>
    <mergeCell ref="SCK146:SCK148"/>
    <mergeCell ref="SCS146:SCS148"/>
    <mergeCell ref="SDA146:SDA148"/>
    <mergeCell ref="SDI146:SDI148"/>
    <mergeCell ref="SDQ146:SDQ148"/>
    <mergeCell ref="SDY146:SDY148"/>
    <mergeCell ref="SEG146:SEG148"/>
    <mergeCell ref="SEO146:SEO148"/>
    <mergeCell ref="SEW146:SEW148"/>
    <mergeCell ref="SFE146:SFE148"/>
    <mergeCell ref="SFM146:SFM148"/>
    <mergeCell ref="SFU146:SFU148"/>
    <mergeCell ref="SYG146:SYG148"/>
    <mergeCell ref="SYO146:SYO148"/>
    <mergeCell ref="SGC146:SGC148"/>
    <mergeCell ref="SGK146:SGK148"/>
    <mergeCell ref="SGS146:SGS148"/>
    <mergeCell ref="SHA146:SHA148"/>
    <mergeCell ref="SMO146:SMO148"/>
    <mergeCell ref="SMW146:SMW148"/>
    <mergeCell ref="SLY146:SLY148"/>
    <mergeCell ref="SMG146:SMG148"/>
    <mergeCell ref="SNE146:SNE148"/>
    <mergeCell ref="SNM146:SNM148"/>
    <mergeCell ref="SNU146:SNU148"/>
    <mergeCell ref="SOC146:SOC148"/>
    <mergeCell ref="SOK146:SOK148"/>
    <mergeCell ref="SOS146:SOS148"/>
    <mergeCell ref="SPA146:SPA148"/>
    <mergeCell ref="RCO146:RCO148"/>
    <mergeCell ref="RCW146:RCW148"/>
    <mergeCell ref="RDE146:RDE148"/>
    <mergeCell ref="RDM146:RDM148"/>
    <mergeCell ref="RDU146:RDU148"/>
    <mergeCell ref="REC146:REC148"/>
    <mergeCell ref="REK146:REK148"/>
    <mergeCell ref="RES146:RES148"/>
    <mergeCell ref="RFA146:RFA148"/>
    <mergeCell ref="RFI146:RFI148"/>
    <mergeCell ref="RFQ146:RFQ148"/>
    <mergeCell ref="RFY146:RFY148"/>
    <mergeCell ref="RGG146:RGG148"/>
    <mergeCell ref="RGO146:RGO148"/>
    <mergeCell ref="RGW146:RGW148"/>
    <mergeCell ref="RZQ146:RZQ148"/>
    <mergeCell ref="RZY146:RZY148"/>
    <mergeCell ref="RHE146:RHE148"/>
    <mergeCell ref="RHM146:RHM148"/>
    <mergeCell ref="RHU146:RHU148"/>
    <mergeCell ref="RIC146:RIC148"/>
    <mergeCell ref="RIK146:RIK148"/>
    <mergeCell ref="RNY146:RNY148"/>
    <mergeCell ref="ROG146:ROG148"/>
    <mergeCell ref="ROO146:ROO148"/>
    <mergeCell ref="ROW146:ROW148"/>
    <mergeCell ref="RPE146:RPE148"/>
    <mergeCell ref="RPM146:RPM148"/>
    <mergeCell ref="RPU146:RPU148"/>
    <mergeCell ref="RQC146:RQC148"/>
    <mergeCell ref="RQK146:RQK148"/>
    <mergeCell ref="RQS146:RQS148"/>
    <mergeCell ref="QFE146:QFE148"/>
    <mergeCell ref="QFM146:QFM148"/>
    <mergeCell ref="QFU146:QFU148"/>
    <mergeCell ref="QGC146:QGC148"/>
    <mergeCell ref="QGK146:QGK148"/>
    <mergeCell ref="QGS146:QGS148"/>
    <mergeCell ref="QHA146:QHA148"/>
    <mergeCell ref="QHI146:QHI148"/>
    <mergeCell ref="QHQ146:QHQ148"/>
    <mergeCell ref="QHY146:QHY148"/>
    <mergeCell ref="QIG146:QIG148"/>
    <mergeCell ref="QIO146:QIO148"/>
    <mergeCell ref="QIW146:QIW148"/>
    <mergeCell ref="QJE146:QJE148"/>
    <mergeCell ref="QJM146:QJM148"/>
    <mergeCell ref="RBA146:RBA148"/>
    <mergeCell ref="RBI146:RBI148"/>
    <mergeCell ref="QJU146:QJU148"/>
    <mergeCell ref="QPI146:QPI148"/>
    <mergeCell ref="QPQ146:QPQ148"/>
    <mergeCell ref="QPY146:QPY148"/>
    <mergeCell ref="QQG146:QQG148"/>
    <mergeCell ref="QQO146:QQO148"/>
    <mergeCell ref="QQW146:QQW148"/>
    <mergeCell ref="QRE146:QRE148"/>
    <mergeCell ref="QRM146:QRM148"/>
    <mergeCell ref="QRU146:QRU148"/>
    <mergeCell ref="QOS146:QOS148"/>
    <mergeCell ref="QPA146:QPA148"/>
    <mergeCell ref="QSC146:QSC148"/>
    <mergeCell ref="QSK146:QSK148"/>
    <mergeCell ref="QSS146:QSS148"/>
    <mergeCell ref="PGG146:PGG148"/>
    <mergeCell ref="PGO146:PGO148"/>
    <mergeCell ref="PGW146:PGW148"/>
    <mergeCell ref="PHE146:PHE148"/>
    <mergeCell ref="PHM146:PHM148"/>
    <mergeCell ref="PHU146:PHU148"/>
    <mergeCell ref="PIC146:PIC148"/>
    <mergeCell ref="PIK146:PIK148"/>
    <mergeCell ref="PIS146:PIS148"/>
    <mergeCell ref="PJA146:PJA148"/>
    <mergeCell ref="PJI146:PJI148"/>
    <mergeCell ref="PJQ146:PJQ148"/>
    <mergeCell ref="PJY146:PJY148"/>
    <mergeCell ref="PKG146:PKG148"/>
    <mergeCell ref="PKO146:PKO148"/>
    <mergeCell ref="QCK146:QCK148"/>
    <mergeCell ref="QCS146:QCS148"/>
    <mergeCell ref="PKW146:PKW148"/>
    <mergeCell ref="PLE146:PLE148"/>
    <mergeCell ref="PQS146:PQS148"/>
    <mergeCell ref="PRA146:PRA148"/>
    <mergeCell ref="PRI146:PRI148"/>
    <mergeCell ref="PRQ146:PRQ148"/>
    <mergeCell ref="PQC146:PQC148"/>
    <mergeCell ref="PQK146:PQK148"/>
    <mergeCell ref="PRY146:PRY148"/>
    <mergeCell ref="PSG146:PSG148"/>
    <mergeCell ref="PSO146:PSO148"/>
    <mergeCell ref="PSW146:PSW148"/>
    <mergeCell ref="PTE146:PTE148"/>
    <mergeCell ref="PTM146:PTM148"/>
    <mergeCell ref="PTU146:PTU148"/>
    <mergeCell ref="OHI146:OHI148"/>
    <mergeCell ref="OHQ146:OHQ148"/>
    <mergeCell ref="OHY146:OHY148"/>
    <mergeCell ref="OIG146:OIG148"/>
    <mergeCell ref="OIO146:OIO148"/>
    <mergeCell ref="OIW146:OIW148"/>
    <mergeCell ref="OJE146:OJE148"/>
    <mergeCell ref="OJM146:OJM148"/>
    <mergeCell ref="OJU146:OJU148"/>
    <mergeCell ref="OKC146:OKC148"/>
    <mergeCell ref="OKK146:OKK148"/>
    <mergeCell ref="OKS146:OKS148"/>
    <mergeCell ref="OLA146:OLA148"/>
    <mergeCell ref="OLI146:OLI148"/>
    <mergeCell ref="OLQ146:OLQ148"/>
    <mergeCell ref="PDU146:PDU148"/>
    <mergeCell ref="PEC146:PEC148"/>
    <mergeCell ref="OLY146:OLY148"/>
    <mergeCell ref="OMG146:OMG148"/>
    <mergeCell ref="OMO146:OMO148"/>
    <mergeCell ref="OSC146:OSC148"/>
    <mergeCell ref="OSK146:OSK148"/>
    <mergeCell ref="OSS146:OSS148"/>
    <mergeCell ref="OTA146:OTA148"/>
    <mergeCell ref="OTI146:OTI148"/>
    <mergeCell ref="OTQ146:OTQ148"/>
    <mergeCell ref="OTY146:OTY148"/>
    <mergeCell ref="OUG146:OUG148"/>
    <mergeCell ref="OUO146:OUO148"/>
    <mergeCell ref="OUW146:OUW148"/>
    <mergeCell ref="OVE146:OVE148"/>
    <mergeCell ref="OVM146:OVM148"/>
    <mergeCell ref="NOG146:NOG148"/>
    <mergeCell ref="NOO146:NOO148"/>
    <mergeCell ref="NOW146:NOW148"/>
    <mergeCell ref="NPE146:NPE148"/>
    <mergeCell ref="NPM146:NPM148"/>
    <mergeCell ref="NPU146:NPU148"/>
    <mergeCell ref="NQC146:NQC148"/>
    <mergeCell ref="NQK146:NQK148"/>
    <mergeCell ref="NQS146:NQS148"/>
    <mergeCell ref="NRA146:NRA148"/>
    <mergeCell ref="NRI146:NRI148"/>
    <mergeCell ref="NRQ146:NRQ148"/>
    <mergeCell ref="NRY146:NRY148"/>
    <mergeCell ref="NSG146:NSG148"/>
    <mergeCell ref="NSO146:NSO148"/>
    <mergeCell ref="NKO146:NKO148"/>
    <mergeCell ref="NKW146:NKW148"/>
    <mergeCell ref="NLE146:NLE148"/>
    <mergeCell ref="NLM146:NLM148"/>
    <mergeCell ref="NLU146:NLU148"/>
    <mergeCell ref="NMC146:NMC148"/>
    <mergeCell ref="NMK146:NMK148"/>
    <mergeCell ref="NMS146:NMS148"/>
    <mergeCell ref="NNA146:NNA148"/>
    <mergeCell ref="NNI146:NNI148"/>
    <mergeCell ref="NNQ146:NNQ148"/>
    <mergeCell ref="NNY146:NNY148"/>
    <mergeCell ref="MVM146:MVM148"/>
    <mergeCell ref="MVU146:MVU148"/>
    <mergeCell ref="MWC146:MWC148"/>
    <mergeCell ref="MWK146:MWK148"/>
    <mergeCell ref="MWS146:MWS148"/>
    <mergeCell ref="MXA146:MXA148"/>
    <mergeCell ref="MXI146:MXI148"/>
    <mergeCell ref="MXQ146:MXQ148"/>
    <mergeCell ref="MXY146:MXY148"/>
    <mergeCell ref="MYG146:MYG148"/>
    <mergeCell ref="MYO146:MYO148"/>
    <mergeCell ref="MYW146:MYW148"/>
    <mergeCell ref="MZE146:MZE148"/>
    <mergeCell ref="MZM146:MZM148"/>
    <mergeCell ref="MZU146:MZU148"/>
    <mergeCell ref="NGO146:NGO148"/>
    <mergeCell ref="NGW146:NGW148"/>
    <mergeCell ref="NAC146:NAC148"/>
    <mergeCell ref="NAK146:NAK148"/>
    <mergeCell ref="NAS146:NAS148"/>
    <mergeCell ref="NBA146:NBA148"/>
    <mergeCell ref="NBI146:NBI148"/>
    <mergeCell ref="NBQ146:NBQ148"/>
    <mergeCell ref="LWO146:LWO148"/>
    <mergeCell ref="LWW146:LWW148"/>
    <mergeCell ref="LXE146:LXE148"/>
    <mergeCell ref="LXM146:LXM148"/>
    <mergeCell ref="LXU146:LXU148"/>
    <mergeCell ref="LYC146:LYC148"/>
    <mergeCell ref="LYK146:LYK148"/>
    <mergeCell ref="LYS146:LYS148"/>
    <mergeCell ref="LZA146:LZA148"/>
    <mergeCell ref="LZI146:LZI148"/>
    <mergeCell ref="LZQ146:LZQ148"/>
    <mergeCell ref="LZY146:LZY148"/>
    <mergeCell ref="MAG146:MAG148"/>
    <mergeCell ref="MAO146:MAO148"/>
    <mergeCell ref="MAW146:MAW148"/>
    <mergeCell ref="MUG146:MUG148"/>
    <mergeCell ref="MUO146:MUO148"/>
    <mergeCell ref="MBE146:MBE148"/>
    <mergeCell ref="MBM146:MBM148"/>
    <mergeCell ref="MBU146:MBU148"/>
    <mergeCell ref="MCC146:MCC148"/>
    <mergeCell ref="MCK146:MCK148"/>
    <mergeCell ref="MCS146:MCS148"/>
    <mergeCell ref="MDA146:MDA148"/>
    <mergeCell ref="MIO146:MIO148"/>
    <mergeCell ref="MIW146:MIW148"/>
    <mergeCell ref="MJE146:MJE148"/>
    <mergeCell ref="MJM146:MJM148"/>
    <mergeCell ref="MJU146:MJU148"/>
    <mergeCell ref="MKC146:MKC148"/>
    <mergeCell ref="MKK146:MKK148"/>
    <mergeCell ref="MKS146:MKS148"/>
    <mergeCell ref="KZE146:KZE148"/>
    <mergeCell ref="KZM146:KZM148"/>
    <mergeCell ref="KZU146:KZU148"/>
    <mergeCell ref="LAC146:LAC148"/>
    <mergeCell ref="LAK146:LAK148"/>
    <mergeCell ref="LAS146:LAS148"/>
    <mergeCell ref="LBA146:LBA148"/>
    <mergeCell ref="LBI146:LBI148"/>
    <mergeCell ref="LBQ146:LBQ148"/>
    <mergeCell ref="LBY146:LBY148"/>
    <mergeCell ref="LCG146:LCG148"/>
    <mergeCell ref="LCO146:LCO148"/>
    <mergeCell ref="LCW146:LCW148"/>
    <mergeCell ref="LDE146:LDE148"/>
    <mergeCell ref="LDM146:LDM148"/>
    <mergeCell ref="LVQ146:LVQ148"/>
    <mergeCell ref="LVY146:LVY148"/>
    <mergeCell ref="LDU146:LDU148"/>
    <mergeCell ref="LEC146:LEC148"/>
    <mergeCell ref="LEK146:LEK148"/>
    <mergeCell ref="LJY146:LJY148"/>
    <mergeCell ref="LKG146:LKG148"/>
    <mergeCell ref="LKO146:LKO148"/>
    <mergeCell ref="LKW146:LKW148"/>
    <mergeCell ref="LLE146:LLE148"/>
    <mergeCell ref="LLM146:LLM148"/>
    <mergeCell ref="LLU146:LLU148"/>
    <mergeCell ref="LJI146:LJI148"/>
    <mergeCell ref="LJQ146:LJQ148"/>
    <mergeCell ref="LMC146:LMC148"/>
    <mergeCell ref="LMK146:LMK148"/>
    <mergeCell ref="LMS146:LMS148"/>
    <mergeCell ref="KAG146:KAG148"/>
    <mergeCell ref="KAO146:KAO148"/>
    <mergeCell ref="KAW146:KAW148"/>
    <mergeCell ref="KBE146:KBE148"/>
    <mergeCell ref="KBM146:KBM148"/>
    <mergeCell ref="KBU146:KBU148"/>
    <mergeCell ref="KCC146:KCC148"/>
    <mergeCell ref="KCK146:KCK148"/>
    <mergeCell ref="KCS146:KCS148"/>
    <mergeCell ref="KDA146:KDA148"/>
    <mergeCell ref="KDI146:KDI148"/>
    <mergeCell ref="KDQ146:KDQ148"/>
    <mergeCell ref="KDY146:KDY148"/>
    <mergeCell ref="KEG146:KEG148"/>
    <mergeCell ref="KEO146:KEO148"/>
    <mergeCell ref="KXA146:KXA148"/>
    <mergeCell ref="KXI146:KXI148"/>
    <mergeCell ref="KEW146:KEW148"/>
    <mergeCell ref="KFE146:KFE148"/>
    <mergeCell ref="KFM146:KFM148"/>
    <mergeCell ref="KFU146:KFU148"/>
    <mergeCell ref="KLI146:KLI148"/>
    <mergeCell ref="KLQ146:KLQ148"/>
    <mergeCell ref="KKS146:KKS148"/>
    <mergeCell ref="KLA146:KLA148"/>
    <mergeCell ref="KLY146:KLY148"/>
    <mergeCell ref="KMG146:KMG148"/>
    <mergeCell ref="KMO146:KMO148"/>
    <mergeCell ref="KMW146:KMW148"/>
    <mergeCell ref="KNE146:KNE148"/>
    <mergeCell ref="KNM146:KNM148"/>
    <mergeCell ref="KNU146:KNU148"/>
    <mergeCell ref="JBI146:JBI148"/>
    <mergeCell ref="JBQ146:JBQ148"/>
    <mergeCell ref="JBY146:JBY148"/>
    <mergeCell ref="JCG146:JCG148"/>
    <mergeCell ref="JCO146:JCO148"/>
    <mergeCell ref="JCW146:JCW148"/>
    <mergeCell ref="JDE146:JDE148"/>
    <mergeCell ref="JDM146:JDM148"/>
    <mergeCell ref="JDU146:JDU148"/>
    <mergeCell ref="JEC146:JEC148"/>
    <mergeCell ref="JEK146:JEK148"/>
    <mergeCell ref="JES146:JES148"/>
    <mergeCell ref="JFA146:JFA148"/>
    <mergeCell ref="JFI146:JFI148"/>
    <mergeCell ref="JFQ146:JFQ148"/>
    <mergeCell ref="JYK146:JYK148"/>
    <mergeCell ref="JYS146:JYS148"/>
    <mergeCell ref="JFY146:JFY148"/>
    <mergeCell ref="JGG146:JGG148"/>
    <mergeCell ref="JGO146:JGO148"/>
    <mergeCell ref="JGW146:JGW148"/>
    <mergeCell ref="JHE146:JHE148"/>
    <mergeCell ref="JMS146:JMS148"/>
    <mergeCell ref="JNA146:JNA148"/>
    <mergeCell ref="JNI146:JNI148"/>
    <mergeCell ref="JNQ146:JNQ148"/>
    <mergeCell ref="JNY146:JNY148"/>
    <mergeCell ref="JOG146:JOG148"/>
    <mergeCell ref="JOO146:JOO148"/>
    <mergeCell ref="JOW146:JOW148"/>
    <mergeCell ref="JPE146:JPE148"/>
    <mergeCell ref="JPM146:JPM148"/>
    <mergeCell ref="IDY146:IDY148"/>
    <mergeCell ref="IEG146:IEG148"/>
    <mergeCell ref="IEO146:IEO148"/>
    <mergeCell ref="IEW146:IEW148"/>
    <mergeCell ref="IFE146:IFE148"/>
    <mergeCell ref="IFM146:IFM148"/>
    <mergeCell ref="IFU146:IFU148"/>
    <mergeCell ref="IGC146:IGC148"/>
    <mergeCell ref="IGK146:IGK148"/>
    <mergeCell ref="IGS146:IGS148"/>
    <mergeCell ref="IHA146:IHA148"/>
    <mergeCell ref="IHI146:IHI148"/>
    <mergeCell ref="IHQ146:IHQ148"/>
    <mergeCell ref="IHY146:IHY148"/>
    <mergeCell ref="IIG146:IIG148"/>
    <mergeCell ref="IZU146:IZU148"/>
    <mergeCell ref="JAC146:JAC148"/>
    <mergeCell ref="IIO146:IIO148"/>
    <mergeCell ref="IOC146:IOC148"/>
    <mergeCell ref="IOK146:IOK148"/>
    <mergeCell ref="IOS146:IOS148"/>
    <mergeCell ref="IPA146:IPA148"/>
    <mergeCell ref="IPI146:IPI148"/>
    <mergeCell ref="IPQ146:IPQ148"/>
    <mergeCell ref="IPY146:IPY148"/>
    <mergeCell ref="IQG146:IQG148"/>
    <mergeCell ref="IQO146:IQO148"/>
    <mergeCell ref="INM146:INM148"/>
    <mergeCell ref="INU146:INU148"/>
    <mergeCell ref="IQW146:IQW148"/>
    <mergeCell ref="IRE146:IRE148"/>
    <mergeCell ref="IRM146:IRM148"/>
    <mergeCell ref="HFA146:HFA148"/>
    <mergeCell ref="HFI146:HFI148"/>
    <mergeCell ref="HFQ146:HFQ148"/>
    <mergeCell ref="HFY146:HFY148"/>
    <mergeCell ref="HGG146:HGG148"/>
    <mergeCell ref="HGO146:HGO148"/>
    <mergeCell ref="HGW146:HGW148"/>
    <mergeCell ref="HHE146:HHE148"/>
    <mergeCell ref="HHM146:HHM148"/>
    <mergeCell ref="HHU146:HHU148"/>
    <mergeCell ref="HIC146:HIC148"/>
    <mergeCell ref="HIK146:HIK148"/>
    <mergeCell ref="HIS146:HIS148"/>
    <mergeCell ref="HJA146:HJA148"/>
    <mergeCell ref="HJI146:HJI148"/>
    <mergeCell ref="IBE146:IBE148"/>
    <mergeCell ref="IBM146:IBM148"/>
    <mergeCell ref="HJQ146:HJQ148"/>
    <mergeCell ref="HJY146:HJY148"/>
    <mergeCell ref="HPM146:HPM148"/>
    <mergeCell ref="HPU146:HPU148"/>
    <mergeCell ref="HQC146:HQC148"/>
    <mergeCell ref="HQK146:HQK148"/>
    <mergeCell ref="HOW146:HOW148"/>
    <mergeCell ref="HPE146:HPE148"/>
    <mergeCell ref="HQS146:HQS148"/>
    <mergeCell ref="HRA146:HRA148"/>
    <mergeCell ref="HRI146:HRI148"/>
    <mergeCell ref="HRQ146:HRQ148"/>
    <mergeCell ref="HRY146:HRY148"/>
    <mergeCell ref="HSG146:HSG148"/>
    <mergeCell ref="HSO146:HSO148"/>
    <mergeCell ref="GGC146:GGC148"/>
    <mergeCell ref="GGK146:GGK148"/>
    <mergeCell ref="GGS146:GGS148"/>
    <mergeCell ref="GHA146:GHA148"/>
    <mergeCell ref="GHI146:GHI148"/>
    <mergeCell ref="GHQ146:GHQ148"/>
    <mergeCell ref="GHY146:GHY148"/>
    <mergeCell ref="GIG146:GIG148"/>
    <mergeCell ref="GIO146:GIO148"/>
    <mergeCell ref="GIW146:GIW148"/>
    <mergeCell ref="GJE146:GJE148"/>
    <mergeCell ref="GJM146:GJM148"/>
    <mergeCell ref="GJU146:GJU148"/>
    <mergeCell ref="GKC146:GKC148"/>
    <mergeCell ref="GKK146:GKK148"/>
    <mergeCell ref="HCO146:HCO148"/>
    <mergeCell ref="HCW146:HCW148"/>
    <mergeCell ref="GKS146:GKS148"/>
    <mergeCell ref="GLA146:GLA148"/>
    <mergeCell ref="GLI146:GLI148"/>
    <mergeCell ref="GQW146:GQW148"/>
    <mergeCell ref="GRE146:GRE148"/>
    <mergeCell ref="GRM146:GRM148"/>
    <mergeCell ref="GRU146:GRU148"/>
    <mergeCell ref="GSC146:GSC148"/>
    <mergeCell ref="GSK146:GSK148"/>
    <mergeCell ref="GSS146:GSS148"/>
    <mergeCell ref="GTA146:GTA148"/>
    <mergeCell ref="GTI146:GTI148"/>
    <mergeCell ref="GTQ146:GTQ148"/>
    <mergeCell ref="GTY146:GTY148"/>
    <mergeCell ref="GUG146:GUG148"/>
    <mergeCell ref="FNA146:FNA148"/>
    <mergeCell ref="FNI146:FNI148"/>
    <mergeCell ref="FNQ146:FNQ148"/>
    <mergeCell ref="FNY146:FNY148"/>
    <mergeCell ref="FOG146:FOG148"/>
    <mergeCell ref="FOO146:FOO148"/>
    <mergeCell ref="FOW146:FOW148"/>
    <mergeCell ref="FPE146:FPE148"/>
    <mergeCell ref="FPM146:FPM148"/>
    <mergeCell ref="FPU146:FPU148"/>
    <mergeCell ref="FQC146:FQC148"/>
    <mergeCell ref="FQK146:FQK148"/>
    <mergeCell ref="FQS146:FQS148"/>
    <mergeCell ref="FRA146:FRA148"/>
    <mergeCell ref="FRI146:FRI148"/>
    <mergeCell ref="FJI146:FJI148"/>
    <mergeCell ref="FJQ146:FJQ148"/>
    <mergeCell ref="FJY146:FJY148"/>
    <mergeCell ref="FKG146:FKG148"/>
    <mergeCell ref="FKO146:FKO148"/>
    <mergeCell ref="FKW146:FKW148"/>
    <mergeCell ref="FLE146:FLE148"/>
    <mergeCell ref="FLM146:FLM148"/>
    <mergeCell ref="FLU146:FLU148"/>
    <mergeCell ref="FMC146:FMC148"/>
    <mergeCell ref="FMK146:FMK148"/>
    <mergeCell ref="FMS146:FMS148"/>
    <mergeCell ref="EUG146:EUG148"/>
    <mergeCell ref="EUO146:EUO148"/>
    <mergeCell ref="EUW146:EUW148"/>
    <mergeCell ref="EVE146:EVE148"/>
    <mergeCell ref="EVM146:EVM148"/>
    <mergeCell ref="EVU146:EVU148"/>
    <mergeCell ref="EWC146:EWC148"/>
    <mergeCell ref="EWK146:EWK148"/>
    <mergeCell ref="EWS146:EWS148"/>
    <mergeCell ref="EXA146:EXA148"/>
    <mergeCell ref="EXI146:EXI148"/>
    <mergeCell ref="EXQ146:EXQ148"/>
    <mergeCell ref="EXY146:EXY148"/>
    <mergeCell ref="EYG146:EYG148"/>
    <mergeCell ref="EYO146:EYO148"/>
    <mergeCell ref="FFI146:FFI148"/>
    <mergeCell ref="FFQ146:FFQ148"/>
    <mergeCell ref="EYW146:EYW148"/>
    <mergeCell ref="EZE146:EZE148"/>
    <mergeCell ref="EZM146:EZM148"/>
    <mergeCell ref="EZU146:EZU148"/>
    <mergeCell ref="FAC146:FAC148"/>
    <mergeCell ref="FAK146:FAK148"/>
    <mergeCell ref="DVI146:DVI148"/>
    <mergeCell ref="DVQ146:DVQ148"/>
    <mergeCell ref="DVY146:DVY148"/>
    <mergeCell ref="DWG146:DWG148"/>
    <mergeCell ref="DWO146:DWO148"/>
    <mergeCell ref="DWW146:DWW148"/>
    <mergeCell ref="DXE146:DXE148"/>
    <mergeCell ref="DXM146:DXM148"/>
    <mergeCell ref="DXU146:DXU148"/>
    <mergeCell ref="DYC146:DYC148"/>
    <mergeCell ref="DYK146:DYK148"/>
    <mergeCell ref="DYS146:DYS148"/>
    <mergeCell ref="DZA146:DZA148"/>
    <mergeCell ref="DZI146:DZI148"/>
    <mergeCell ref="DZQ146:DZQ148"/>
    <mergeCell ref="ETA146:ETA148"/>
    <mergeCell ref="ETI146:ETI148"/>
    <mergeCell ref="DZY146:DZY148"/>
    <mergeCell ref="EAG146:EAG148"/>
    <mergeCell ref="EAO146:EAO148"/>
    <mergeCell ref="EAW146:EAW148"/>
    <mergeCell ref="EBE146:EBE148"/>
    <mergeCell ref="EBM146:EBM148"/>
    <mergeCell ref="EBU146:EBU148"/>
    <mergeCell ref="EHI146:EHI148"/>
    <mergeCell ref="EHQ146:EHQ148"/>
    <mergeCell ref="EHY146:EHY148"/>
    <mergeCell ref="EIG146:EIG148"/>
    <mergeCell ref="EIO146:EIO148"/>
    <mergeCell ref="EIW146:EIW148"/>
    <mergeCell ref="EJE146:EJE148"/>
    <mergeCell ref="EJM146:EJM148"/>
    <mergeCell ref="CXY146:CXY148"/>
    <mergeCell ref="CYG146:CYG148"/>
    <mergeCell ref="CYO146:CYO148"/>
    <mergeCell ref="CYW146:CYW148"/>
    <mergeCell ref="CZE146:CZE148"/>
    <mergeCell ref="CZM146:CZM148"/>
    <mergeCell ref="CZU146:CZU148"/>
    <mergeCell ref="DAC146:DAC148"/>
    <mergeCell ref="DAK146:DAK148"/>
    <mergeCell ref="DAS146:DAS148"/>
    <mergeCell ref="DBA146:DBA148"/>
    <mergeCell ref="DBI146:DBI148"/>
    <mergeCell ref="DBQ146:DBQ148"/>
    <mergeCell ref="DBY146:DBY148"/>
    <mergeCell ref="DCG146:DCG148"/>
    <mergeCell ref="DUK146:DUK148"/>
    <mergeCell ref="DUS146:DUS148"/>
    <mergeCell ref="DCO146:DCO148"/>
    <mergeCell ref="DCW146:DCW148"/>
    <mergeCell ref="DDE146:DDE148"/>
    <mergeCell ref="DIS146:DIS148"/>
    <mergeCell ref="DJA146:DJA148"/>
    <mergeCell ref="DJI146:DJI148"/>
    <mergeCell ref="DJQ146:DJQ148"/>
    <mergeCell ref="DJY146:DJY148"/>
    <mergeCell ref="DKG146:DKG148"/>
    <mergeCell ref="DKO146:DKO148"/>
    <mergeCell ref="DIC146:DIC148"/>
    <mergeCell ref="DIK146:DIK148"/>
    <mergeCell ref="DKW146:DKW148"/>
    <mergeCell ref="DLE146:DLE148"/>
    <mergeCell ref="DLM146:DLM148"/>
    <mergeCell ref="BZA146:BZA148"/>
    <mergeCell ref="BZI146:BZI148"/>
    <mergeCell ref="BZQ146:BZQ148"/>
    <mergeCell ref="BZY146:BZY148"/>
    <mergeCell ref="CAG146:CAG148"/>
    <mergeCell ref="CAO146:CAO148"/>
    <mergeCell ref="CAW146:CAW148"/>
    <mergeCell ref="CBE146:CBE148"/>
    <mergeCell ref="CBM146:CBM148"/>
    <mergeCell ref="CBU146:CBU148"/>
    <mergeCell ref="CCC146:CCC148"/>
    <mergeCell ref="CCK146:CCK148"/>
    <mergeCell ref="CCS146:CCS148"/>
    <mergeCell ref="CDA146:CDA148"/>
    <mergeCell ref="CDI146:CDI148"/>
    <mergeCell ref="CVU146:CVU148"/>
    <mergeCell ref="CWC146:CWC148"/>
    <mergeCell ref="CDQ146:CDQ148"/>
    <mergeCell ref="CDY146:CDY148"/>
    <mergeCell ref="CEG146:CEG148"/>
    <mergeCell ref="CEO146:CEO148"/>
    <mergeCell ref="CKC146:CKC148"/>
    <mergeCell ref="CKK146:CKK148"/>
    <mergeCell ref="CJM146:CJM148"/>
    <mergeCell ref="CJU146:CJU148"/>
    <mergeCell ref="CKS146:CKS148"/>
    <mergeCell ref="CLA146:CLA148"/>
    <mergeCell ref="CLI146:CLI148"/>
    <mergeCell ref="CLQ146:CLQ148"/>
    <mergeCell ref="CLY146:CLY148"/>
    <mergeCell ref="CMG146:CMG148"/>
    <mergeCell ref="CMO146:CMO148"/>
    <mergeCell ref="BAC146:BAC148"/>
    <mergeCell ref="BAK146:BAK148"/>
    <mergeCell ref="BAS146:BAS148"/>
    <mergeCell ref="BBA146:BBA148"/>
    <mergeCell ref="BBI146:BBI148"/>
    <mergeCell ref="BBQ146:BBQ148"/>
    <mergeCell ref="BBY146:BBY148"/>
    <mergeCell ref="BCG146:BCG148"/>
    <mergeCell ref="BCO146:BCO148"/>
    <mergeCell ref="BCW146:BCW148"/>
    <mergeCell ref="BDE146:BDE148"/>
    <mergeCell ref="BDM146:BDM148"/>
    <mergeCell ref="BDU146:BDU148"/>
    <mergeCell ref="BEC146:BEC148"/>
    <mergeCell ref="BEK146:BEK148"/>
    <mergeCell ref="BXE146:BXE148"/>
    <mergeCell ref="BXM146:BXM148"/>
    <mergeCell ref="BES146:BES148"/>
    <mergeCell ref="BFA146:BFA148"/>
    <mergeCell ref="BFI146:BFI148"/>
    <mergeCell ref="BFQ146:BFQ148"/>
    <mergeCell ref="BFY146:BFY148"/>
    <mergeCell ref="BLM146:BLM148"/>
    <mergeCell ref="BLU146:BLU148"/>
    <mergeCell ref="BMC146:BMC148"/>
    <mergeCell ref="BMK146:BMK148"/>
    <mergeCell ref="BMS146:BMS148"/>
    <mergeCell ref="BNA146:BNA148"/>
    <mergeCell ref="BNI146:BNI148"/>
    <mergeCell ref="BNQ146:BNQ148"/>
    <mergeCell ref="BNY146:BNY148"/>
    <mergeCell ref="BOG146:BOG148"/>
    <mergeCell ref="ZY146:ZY148"/>
    <mergeCell ref="AAG146:AAG148"/>
    <mergeCell ref="AHQ146:AHQ148"/>
    <mergeCell ref="AHY146:AHY148"/>
    <mergeCell ref="AIG146:AIG148"/>
    <mergeCell ref="AIO146:AIO148"/>
    <mergeCell ref="AIW146:AIW148"/>
    <mergeCell ref="AJE146:AJE148"/>
    <mergeCell ref="AJM146:AJM148"/>
    <mergeCell ref="AJU146:AJU148"/>
    <mergeCell ref="AKC146:AKC148"/>
    <mergeCell ref="AKK146:AKK148"/>
    <mergeCell ref="AKS146:AKS148"/>
    <mergeCell ref="ALA146:ALA148"/>
    <mergeCell ref="ALI146:ALI148"/>
    <mergeCell ref="ALQ146:ALQ148"/>
    <mergeCell ref="ALY146:ALY148"/>
    <mergeCell ref="AFE146:AFE148"/>
    <mergeCell ref="AFM146:AFM148"/>
    <mergeCell ref="AFU146:AFU148"/>
    <mergeCell ref="AGC146:AGC148"/>
    <mergeCell ref="AGK146:AGK148"/>
    <mergeCell ref="AGS146:AGS148"/>
    <mergeCell ref="AHA146:AHA148"/>
    <mergeCell ref="AHI146:AHI148"/>
    <mergeCell ref="GO146:GO148"/>
    <mergeCell ref="GW146:GW148"/>
    <mergeCell ref="KW146:KW148"/>
    <mergeCell ref="LE146:LE148"/>
    <mergeCell ref="LM146:LM148"/>
    <mergeCell ref="LU146:LU148"/>
    <mergeCell ref="MC146:MC148"/>
    <mergeCell ref="MK146:MK148"/>
    <mergeCell ref="MS146:MS148"/>
    <mergeCell ref="NA146:NA148"/>
    <mergeCell ref="NI146:NI148"/>
    <mergeCell ref="NQ146:NQ148"/>
    <mergeCell ref="NY146:NY148"/>
    <mergeCell ref="OG146:OG148"/>
    <mergeCell ref="OO146:OO148"/>
    <mergeCell ref="OW146:OW148"/>
    <mergeCell ref="PE146:PE148"/>
    <mergeCell ref="KG146:KG148"/>
    <mergeCell ref="KO146:KO148"/>
    <mergeCell ref="A175:A182"/>
    <mergeCell ref="B175:F175"/>
    <mergeCell ref="A185:A195"/>
    <mergeCell ref="A198:A205"/>
    <mergeCell ref="B198:F198"/>
    <mergeCell ref="H168:I168"/>
    <mergeCell ref="C169:D169"/>
    <mergeCell ref="A152:A172"/>
    <mergeCell ref="M11:N11"/>
    <mergeCell ref="A77:A90"/>
    <mergeCell ref="A61:A74"/>
    <mergeCell ref="A35:A56"/>
    <mergeCell ref="B1:O1"/>
    <mergeCell ref="E23:F23"/>
    <mergeCell ref="B131:F131"/>
    <mergeCell ref="D25:G25"/>
    <mergeCell ref="H124:I124"/>
    <mergeCell ref="C125:D125"/>
    <mergeCell ref="B22:Q22"/>
    <mergeCell ref="A108:A129"/>
    <mergeCell ref="A131:A138"/>
    <mergeCell ref="D53:E53"/>
    <mergeCell ref="A93:A105"/>
    <mergeCell ref="I23:J23"/>
    <mergeCell ref="A141:A149"/>
    <mergeCell ref="D144:E144"/>
    <mergeCell ref="H144:I144"/>
    <mergeCell ref="C145:D145"/>
    <mergeCell ref="U146:U148"/>
    <mergeCell ref="AC146:AC148"/>
    <mergeCell ref="AK146:AK148"/>
    <mergeCell ref="AS146:AS148"/>
    <mergeCell ref="BA146:BA148"/>
    <mergeCell ref="BI146:BI148"/>
    <mergeCell ref="BQ146:BQ148"/>
    <mergeCell ref="HE146:HE148"/>
    <mergeCell ref="HM146:HM148"/>
    <mergeCell ref="HU146:HU148"/>
    <mergeCell ref="IC146:IC148"/>
    <mergeCell ref="IK146:IK148"/>
    <mergeCell ref="IS146:IS148"/>
    <mergeCell ref="JA146:JA148"/>
    <mergeCell ref="JI146:JI148"/>
    <mergeCell ref="JQ146:JQ148"/>
    <mergeCell ref="JY146:JY148"/>
    <mergeCell ref="BY146:BY148"/>
    <mergeCell ref="CG146:CG148"/>
    <mergeCell ref="CO146:CO148"/>
    <mergeCell ref="CW146:CW148"/>
    <mergeCell ref="DE146:DE148"/>
    <mergeCell ref="DM146:DM148"/>
    <mergeCell ref="DU146:DU148"/>
    <mergeCell ref="EC146:EC148"/>
    <mergeCell ref="EK146:EK148"/>
    <mergeCell ref="ES146:ES148"/>
    <mergeCell ref="FA146:FA148"/>
    <mergeCell ref="FI146:FI148"/>
    <mergeCell ref="FQ146:FQ148"/>
    <mergeCell ref="FY146:FY148"/>
    <mergeCell ref="GG146:GG148"/>
    <mergeCell ref="QC146:QC148"/>
    <mergeCell ref="QK146:QK148"/>
    <mergeCell ref="QS146:QS148"/>
    <mergeCell ref="RA146:RA148"/>
    <mergeCell ref="RI146:RI148"/>
    <mergeCell ref="RQ146:RQ148"/>
    <mergeCell ref="RY146:RY148"/>
    <mergeCell ref="SG146:SG148"/>
    <mergeCell ref="SO146:SO148"/>
    <mergeCell ref="SW146:SW148"/>
    <mergeCell ref="TE146:TE148"/>
    <mergeCell ref="TM146:TM148"/>
    <mergeCell ref="TU146:TU148"/>
    <mergeCell ref="UC146:UC148"/>
    <mergeCell ref="UK146:UK148"/>
    <mergeCell ref="PM146:PM148"/>
    <mergeCell ref="PU146:PU148"/>
    <mergeCell ref="US146:US148"/>
    <mergeCell ref="VA146:VA148"/>
    <mergeCell ref="AAO146:AAO148"/>
    <mergeCell ref="AAW146:AAW148"/>
    <mergeCell ref="ABE146:ABE148"/>
    <mergeCell ref="ABM146:ABM148"/>
    <mergeCell ref="ABU146:ABU148"/>
    <mergeCell ref="ACC146:ACC148"/>
    <mergeCell ref="ACK146:ACK148"/>
    <mergeCell ref="ACS146:ACS148"/>
    <mergeCell ref="ADA146:ADA148"/>
    <mergeCell ref="ADI146:ADI148"/>
    <mergeCell ref="ADQ146:ADQ148"/>
    <mergeCell ref="ADY146:ADY148"/>
    <mergeCell ref="AEG146:AEG148"/>
    <mergeCell ref="AEO146:AEO148"/>
    <mergeCell ref="AEW146:AEW148"/>
    <mergeCell ref="VI146:VI148"/>
    <mergeCell ref="VQ146:VQ148"/>
    <mergeCell ref="VY146:VY148"/>
    <mergeCell ref="WG146:WG148"/>
    <mergeCell ref="WO146:WO148"/>
    <mergeCell ref="WW146:WW148"/>
    <mergeCell ref="XE146:XE148"/>
    <mergeCell ref="XM146:XM148"/>
    <mergeCell ref="XU146:XU148"/>
    <mergeCell ref="YC146:YC148"/>
    <mergeCell ref="YK146:YK148"/>
    <mergeCell ref="YS146:YS148"/>
    <mergeCell ref="ZA146:ZA148"/>
    <mergeCell ref="ZI146:ZI148"/>
    <mergeCell ref="ZQ146:ZQ148"/>
    <mergeCell ref="AMW146:AMW148"/>
    <mergeCell ref="ANE146:ANE148"/>
    <mergeCell ref="ANM146:ANM148"/>
    <mergeCell ref="ANU146:ANU148"/>
    <mergeCell ref="AOC146:AOC148"/>
    <mergeCell ref="AOK146:AOK148"/>
    <mergeCell ref="AOS146:AOS148"/>
    <mergeCell ref="APA146:APA148"/>
    <mergeCell ref="API146:API148"/>
    <mergeCell ref="AMG146:AMG148"/>
    <mergeCell ref="AMO146:AMO148"/>
    <mergeCell ref="APQ146:APQ148"/>
    <mergeCell ref="APY146:APY148"/>
    <mergeCell ref="AQG146:AQG148"/>
    <mergeCell ref="AQO146:AQO148"/>
    <mergeCell ref="AQW146:AQW148"/>
    <mergeCell ref="ARE146:ARE148"/>
    <mergeCell ref="ARM146:ARM148"/>
    <mergeCell ref="ARU146:ARU148"/>
    <mergeCell ref="ASC146:ASC148"/>
    <mergeCell ref="ASK146:ASK148"/>
    <mergeCell ref="ASS146:ASS148"/>
    <mergeCell ref="ATA146:ATA148"/>
    <mergeCell ref="ATI146:ATI148"/>
    <mergeCell ref="ATQ146:ATQ148"/>
    <mergeCell ref="AZE146:AZE148"/>
    <mergeCell ref="AZM146:AZM148"/>
    <mergeCell ref="AZU146:AZU148"/>
    <mergeCell ref="ATY146:ATY148"/>
    <mergeCell ref="AUG146:AUG148"/>
    <mergeCell ref="AUO146:AUO148"/>
    <mergeCell ref="AUW146:AUW148"/>
    <mergeCell ref="AVE146:AVE148"/>
    <mergeCell ref="AVM146:AVM148"/>
    <mergeCell ref="AVU146:AVU148"/>
    <mergeCell ref="AWC146:AWC148"/>
    <mergeCell ref="AWK146:AWK148"/>
    <mergeCell ref="AWS146:AWS148"/>
    <mergeCell ref="AXA146:AXA148"/>
    <mergeCell ref="AXI146:AXI148"/>
    <mergeCell ref="AXQ146:AXQ148"/>
    <mergeCell ref="AXY146:AXY148"/>
    <mergeCell ref="AYG146:AYG148"/>
    <mergeCell ref="AYO146:AYO148"/>
    <mergeCell ref="AYW146:AYW148"/>
    <mergeCell ref="BOO146:BOO148"/>
    <mergeCell ref="BOW146:BOW148"/>
    <mergeCell ref="BGG146:BGG148"/>
    <mergeCell ref="BGO146:BGO148"/>
    <mergeCell ref="BGW146:BGW148"/>
    <mergeCell ref="BHE146:BHE148"/>
    <mergeCell ref="BHM146:BHM148"/>
    <mergeCell ref="BHU146:BHU148"/>
    <mergeCell ref="BIC146:BIC148"/>
    <mergeCell ref="BIK146:BIK148"/>
    <mergeCell ref="BIS146:BIS148"/>
    <mergeCell ref="BJA146:BJA148"/>
    <mergeCell ref="BJI146:BJI148"/>
    <mergeCell ref="BJQ146:BJQ148"/>
    <mergeCell ref="BJY146:BJY148"/>
    <mergeCell ref="BKG146:BKG148"/>
    <mergeCell ref="BKO146:BKO148"/>
    <mergeCell ref="BPE146:BPE148"/>
    <mergeCell ref="BPM146:BPM148"/>
    <mergeCell ref="BKW146:BKW148"/>
    <mergeCell ref="BLE146:BLE148"/>
    <mergeCell ref="BPU146:BPU148"/>
    <mergeCell ref="BQC146:BQC148"/>
    <mergeCell ref="BQK146:BQK148"/>
    <mergeCell ref="BQS146:BQS148"/>
    <mergeCell ref="BRA146:BRA148"/>
    <mergeCell ref="BRI146:BRI148"/>
    <mergeCell ref="BRQ146:BRQ148"/>
    <mergeCell ref="BRY146:BRY148"/>
    <mergeCell ref="BSG146:BSG148"/>
    <mergeCell ref="BXU146:BXU148"/>
    <mergeCell ref="BYC146:BYC148"/>
    <mergeCell ref="BYK146:BYK148"/>
    <mergeCell ref="BYS146:BYS148"/>
    <mergeCell ref="BSO146:BSO148"/>
    <mergeCell ref="BSW146:BSW148"/>
    <mergeCell ref="BTE146:BTE148"/>
    <mergeCell ref="BTM146:BTM148"/>
    <mergeCell ref="BTU146:BTU148"/>
    <mergeCell ref="BUC146:BUC148"/>
    <mergeCell ref="BUK146:BUK148"/>
    <mergeCell ref="BUS146:BUS148"/>
    <mergeCell ref="BVA146:BVA148"/>
    <mergeCell ref="BVI146:BVI148"/>
    <mergeCell ref="BVQ146:BVQ148"/>
    <mergeCell ref="BVY146:BVY148"/>
    <mergeCell ref="BWG146:BWG148"/>
    <mergeCell ref="BWO146:BWO148"/>
    <mergeCell ref="BWW146:BWW148"/>
    <mergeCell ref="CMW146:CMW148"/>
    <mergeCell ref="CNE146:CNE148"/>
    <mergeCell ref="CEW146:CEW148"/>
    <mergeCell ref="CFE146:CFE148"/>
    <mergeCell ref="CFM146:CFM148"/>
    <mergeCell ref="CFU146:CFU148"/>
    <mergeCell ref="CGC146:CGC148"/>
    <mergeCell ref="CGK146:CGK148"/>
    <mergeCell ref="CGS146:CGS148"/>
    <mergeCell ref="CHA146:CHA148"/>
    <mergeCell ref="CHI146:CHI148"/>
    <mergeCell ref="CHQ146:CHQ148"/>
    <mergeCell ref="CHY146:CHY148"/>
    <mergeCell ref="CIG146:CIG148"/>
    <mergeCell ref="CIO146:CIO148"/>
    <mergeCell ref="CIW146:CIW148"/>
    <mergeCell ref="CJE146:CJE148"/>
    <mergeCell ref="CNM146:CNM148"/>
    <mergeCell ref="CNU146:CNU148"/>
    <mergeCell ref="COC146:COC148"/>
    <mergeCell ref="COK146:COK148"/>
    <mergeCell ref="COS146:COS148"/>
    <mergeCell ref="CPA146:CPA148"/>
    <mergeCell ref="CPI146:CPI148"/>
    <mergeCell ref="CPQ146:CPQ148"/>
    <mergeCell ref="CPY146:CPY148"/>
    <mergeCell ref="CQG146:CQG148"/>
    <mergeCell ref="CQO146:CQO148"/>
    <mergeCell ref="CQW146:CQW148"/>
    <mergeCell ref="CWK146:CWK148"/>
    <mergeCell ref="CWS146:CWS148"/>
    <mergeCell ref="CXA146:CXA148"/>
    <mergeCell ref="CXI146:CXI148"/>
    <mergeCell ref="CXQ146:CXQ148"/>
    <mergeCell ref="CRE146:CRE148"/>
    <mergeCell ref="CRM146:CRM148"/>
    <mergeCell ref="CRU146:CRU148"/>
    <mergeCell ref="CSC146:CSC148"/>
    <mergeCell ref="CSK146:CSK148"/>
    <mergeCell ref="CSS146:CSS148"/>
    <mergeCell ref="CTA146:CTA148"/>
    <mergeCell ref="CTI146:CTI148"/>
    <mergeCell ref="CTQ146:CTQ148"/>
    <mergeCell ref="CTY146:CTY148"/>
    <mergeCell ref="CUG146:CUG148"/>
    <mergeCell ref="CUO146:CUO148"/>
    <mergeCell ref="CUW146:CUW148"/>
    <mergeCell ref="CVE146:CVE148"/>
    <mergeCell ref="CVM146:CVM148"/>
    <mergeCell ref="DLU146:DLU148"/>
    <mergeCell ref="DMC146:DMC148"/>
    <mergeCell ref="DDM146:DDM148"/>
    <mergeCell ref="DDU146:DDU148"/>
    <mergeCell ref="DEC146:DEC148"/>
    <mergeCell ref="DEK146:DEK148"/>
    <mergeCell ref="DES146:DES148"/>
    <mergeCell ref="DFA146:DFA148"/>
    <mergeCell ref="DFI146:DFI148"/>
    <mergeCell ref="DFQ146:DFQ148"/>
    <mergeCell ref="DFY146:DFY148"/>
    <mergeCell ref="DGG146:DGG148"/>
    <mergeCell ref="DGO146:DGO148"/>
    <mergeCell ref="DGW146:DGW148"/>
    <mergeCell ref="DHE146:DHE148"/>
    <mergeCell ref="DHM146:DHM148"/>
    <mergeCell ref="DHU146:DHU148"/>
    <mergeCell ref="DMK146:DMK148"/>
    <mergeCell ref="DMS146:DMS148"/>
    <mergeCell ref="DNA146:DNA148"/>
    <mergeCell ref="DNI146:DNI148"/>
    <mergeCell ref="DNQ146:DNQ148"/>
    <mergeCell ref="DNY146:DNY148"/>
    <mergeCell ref="DOG146:DOG148"/>
    <mergeCell ref="DOO146:DOO148"/>
    <mergeCell ref="DOW146:DOW148"/>
    <mergeCell ref="DPE146:DPE148"/>
    <mergeCell ref="DPM146:DPM148"/>
    <mergeCell ref="DVA146:DVA148"/>
    <mergeCell ref="DPU146:DPU148"/>
    <mergeCell ref="DQC146:DQC148"/>
    <mergeCell ref="DQK146:DQK148"/>
    <mergeCell ref="DQS146:DQS148"/>
    <mergeCell ref="DRA146:DRA148"/>
    <mergeCell ref="DRI146:DRI148"/>
    <mergeCell ref="DRQ146:DRQ148"/>
    <mergeCell ref="DRY146:DRY148"/>
    <mergeCell ref="DSG146:DSG148"/>
    <mergeCell ref="DSO146:DSO148"/>
    <mergeCell ref="DSW146:DSW148"/>
    <mergeCell ref="DTE146:DTE148"/>
    <mergeCell ref="DTM146:DTM148"/>
    <mergeCell ref="DTU146:DTU148"/>
    <mergeCell ref="DUC146:DUC148"/>
    <mergeCell ref="EJU146:EJU148"/>
    <mergeCell ref="EKC146:EKC148"/>
    <mergeCell ref="ECC146:ECC148"/>
    <mergeCell ref="ECK146:ECK148"/>
    <mergeCell ref="ECS146:ECS148"/>
    <mergeCell ref="EDA146:EDA148"/>
    <mergeCell ref="EDI146:EDI148"/>
    <mergeCell ref="EDQ146:EDQ148"/>
    <mergeCell ref="EDY146:EDY148"/>
    <mergeCell ref="EEG146:EEG148"/>
    <mergeCell ref="EEO146:EEO148"/>
    <mergeCell ref="EEW146:EEW148"/>
    <mergeCell ref="EFE146:EFE148"/>
    <mergeCell ref="EFM146:EFM148"/>
    <mergeCell ref="EFU146:EFU148"/>
    <mergeCell ref="EGC146:EGC148"/>
    <mergeCell ref="EGK146:EGK148"/>
    <mergeCell ref="EKK146:EKK148"/>
    <mergeCell ref="EKS146:EKS148"/>
    <mergeCell ref="EGS146:EGS148"/>
    <mergeCell ref="EHA146:EHA148"/>
    <mergeCell ref="ELA146:ELA148"/>
    <mergeCell ref="ELI146:ELI148"/>
    <mergeCell ref="ELQ146:ELQ148"/>
    <mergeCell ref="ELY146:ELY148"/>
    <mergeCell ref="EMG146:EMG148"/>
    <mergeCell ref="EMO146:EMO148"/>
    <mergeCell ref="EMW146:EMW148"/>
    <mergeCell ref="ENE146:ENE148"/>
    <mergeCell ref="ENM146:ENM148"/>
    <mergeCell ref="ENU146:ENU148"/>
    <mergeCell ref="EOC146:EOC148"/>
    <mergeCell ref="ETQ146:ETQ148"/>
    <mergeCell ref="ETY146:ETY148"/>
    <mergeCell ref="EOK146:EOK148"/>
    <mergeCell ref="EOS146:EOS148"/>
    <mergeCell ref="EPA146:EPA148"/>
    <mergeCell ref="EPI146:EPI148"/>
    <mergeCell ref="EPQ146:EPQ148"/>
    <mergeCell ref="EPY146:EPY148"/>
    <mergeCell ref="EQG146:EQG148"/>
    <mergeCell ref="EQO146:EQO148"/>
    <mergeCell ref="EQW146:EQW148"/>
    <mergeCell ref="ERE146:ERE148"/>
    <mergeCell ref="ERM146:ERM148"/>
    <mergeCell ref="ERU146:ERU148"/>
    <mergeCell ref="ESC146:ESC148"/>
    <mergeCell ref="ESK146:ESK148"/>
    <mergeCell ref="ESS146:ESS148"/>
    <mergeCell ref="FFY146:FFY148"/>
    <mergeCell ref="FGG146:FGG148"/>
    <mergeCell ref="FGO146:FGO148"/>
    <mergeCell ref="FGW146:FGW148"/>
    <mergeCell ref="FHE146:FHE148"/>
    <mergeCell ref="FHM146:FHM148"/>
    <mergeCell ref="FHU146:FHU148"/>
    <mergeCell ref="FIC146:FIC148"/>
    <mergeCell ref="FIK146:FIK148"/>
    <mergeCell ref="FIS146:FIS148"/>
    <mergeCell ref="FJA146:FJA148"/>
    <mergeCell ref="FAS146:FAS148"/>
    <mergeCell ref="FBA146:FBA148"/>
    <mergeCell ref="FBI146:FBI148"/>
    <mergeCell ref="FBQ146:FBQ148"/>
    <mergeCell ref="FBY146:FBY148"/>
    <mergeCell ref="FCG146:FCG148"/>
    <mergeCell ref="FCO146:FCO148"/>
    <mergeCell ref="FCW146:FCW148"/>
    <mergeCell ref="FDE146:FDE148"/>
    <mergeCell ref="FDM146:FDM148"/>
    <mergeCell ref="FDU146:FDU148"/>
    <mergeCell ref="FEC146:FEC148"/>
    <mergeCell ref="FEK146:FEK148"/>
    <mergeCell ref="FES146:FES148"/>
    <mergeCell ref="FFA146:FFA148"/>
    <mergeCell ref="FSG146:FSG148"/>
    <mergeCell ref="FSO146:FSO148"/>
    <mergeCell ref="FSW146:FSW148"/>
    <mergeCell ref="FTE146:FTE148"/>
    <mergeCell ref="FTM146:FTM148"/>
    <mergeCell ref="FTU146:FTU148"/>
    <mergeCell ref="FUC146:FUC148"/>
    <mergeCell ref="FUK146:FUK148"/>
    <mergeCell ref="FUS146:FUS148"/>
    <mergeCell ref="FVA146:FVA148"/>
    <mergeCell ref="FVI146:FVI148"/>
    <mergeCell ref="FRQ146:FRQ148"/>
    <mergeCell ref="FRY146:FRY148"/>
    <mergeCell ref="FVQ146:FVQ148"/>
    <mergeCell ref="FVY146:FVY148"/>
    <mergeCell ref="FWG146:FWG148"/>
    <mergeCell ref="FWO146:FWO148"/>
    <mergeCell ref="FWW146:FWW148"/>
    <mergeCell ref="FXE146:FXE148"/>
    <mergeCell ref="FXM146:FXM148"/>
    <mergeCell ref="FXU146:FXU148"/>
    <mergeCell ref="FYC146:FYC148"/>
    <mergeCell ref="FYK146:FYK148"/>
    <mergeCell ref="FYS146:FYS148"/>
    <mergeCell ref="FZA146:FZA148"/>
    <mergeCell ref="GEO146:GEO148"/>
    <mergeCell ref="GEW146:GEW148"/>
    <mergeCell ref="GFE146:GFE148"/>
    <mergeCell ref="GFM146:GFM148"/>
    <mergeCell ref="GFU146:GFU148"/>
    <mergeCell ref="FZI146:FZI148"/>
    <mergeCell ref="FZQ146:FZQ148"/>
    <mergeCell ref="FZY146:FZY148"/>
    <mergeCell ref="GAG146:GAG148"/>
    <mergeCell ref="GAO146:GAO148"/>
    <mergeCell ref="GAW146:GAW148"/>
    <mergeCell ref="GBE146:GBE148"/>
    <mergeCell ref="GBM146:GBM148"/>
    <mergeCell ref="GBU146:GBU148"/>
    <mergeCell ref="GCC146:GCC148"/>
    <mergeCell ref="GCK146:GCK148"/>
    <mergeCell ref="GCS146:GCS148"/>
    <mergeCell ref="GDA146:GDA148"/>
    <mergeCell ref="GDI146:GDI148"/>
    <mergeCell ref="GDQ146:GDQ148"/>
    <mergeCell ref="GDY146:GDY148"/>
    <mergeCell ref="GEG146:GEG148"/>
    <mergeCell ref="GUO146:GUO148"/>
    <mergeCell ref="GUW146:GUW148"/>
    <mergeCell ref="GLQ146:GLQ148"/>
    <mergeCell ref="GLY146:GLY148"/>
    <mergeCell ref="GMG146:GMG148"/>
    <mergeCell ref="GMO146:GMO148"/>
    <mergeCell ref="GMW146:GMW148"/>
    <mergeCell ref="GNE146:GNE148"/>
    <mergeCell ref="GNM146:GNM148"/>
    <mergeCell ref="GNU146:GNU148"/>
    <mergeCell ref="GOC146:GOC148"/>
    <mergeCell ref="GOK146:GOK148"/>
    <mergeCell ref="GOS146:GOS148"/>
    <mergeCell ref="GPA146:GPA148"/>
    <mergeCell ref="GPI146:GPI148"/>
    <mergeCell ref="GPQ146:GPQ148"/>
    <mergeCell ref="GPY146:GPY148"/>
    <mergeCell ref="GVE146:GVE148"/>
    <mergeCell ref="GVM146:GVM148"/>
    <mergeCell ref="GQG146:GQG148"/>
    <mergeCell ref="GQO146:GQO148"/>
    <mergeCell ref="GVU146:GVU148"/>
    <mergeCell ref="GWC146:GWC148"/>
    <mergeCell ref="GWK146:GWK148"/>
    <mergeCell ref="GWS146:GWS148"/>
    <mergeCell ref="GXA146:GXA148"/>
    <mergeCell ref="GXI146:GXI148"/>
    <mergeCell ref="GXQ146:GXQ148"/>
    <mergeCell ref="HDE146:HDE148"/>
    <mergeCell ref="HDM146:HDM148"/>
    <mergeCell ref="HDU146:HDU148"/>
    <mergeCell ref="HEC146:HEC148"/>
    <mergeCell ref="HEK146:HEK148"/>
    <mergeCell ref="HES146:HES148"/>
    <mergeCell ref="GXY146:GXY148"/>
    <mergeCell ref="GYG146:GYG148"/>
    <mergeCell ref="GYO146:GYO148"/>
    <mergeCell ref="GYW146:GYW148"/>
    <mergeCell ref="GZE146:GZE148"/>
    <mergeCell ref="GZM146:GZM148"/>
    <mergeCell ref="GZU146:GZU148"/>
    <mergeCell ref="HAC146:HAC148"/>
    <mergeCell ref="HAK146:HAK148"/>
    <mergeCell ref="HAS146:HAS148"/>
    <mergeCell ref="HBA146:HBA148"/>
    <mergeCell ref="HBI146:HBI148"/>
    <mergeCell ref="HBQ146:HBQ148"/>
    <mergeCell ref="HBY146:HBY148"/>
    <mergeCell ref="HCG146:HCG148"/>
    <mergeCell ref="HSW146:HSW148"/>
    <mergeCell ref="HTE146:HTE148"/>
    <mergeCell ref="HKG146:HKG148"/>
    <mergeCell ref="HKO146:HKO148"/>
    <mergeCell ref="HKW146:HKW148"/>
    <mergeCell ref="HLE146:HLE148"/>
    <mergeCell ref="HLM146:HLM148"/>
    <mergeCell ref="HLU146:HLU148"/>
    <mergeCell ref="HMC146:HMC148"/>
    <mergeCell ref="HMK146:HMK148"/>
    <mergeCell ref="HMS146:HMS148"/>
    <mergeCell ref="HNA146:HNA148"/>
    <mergeCell ref="HNI146:HNI148"/>
    <mergeCell ref="HNQ146:HNQ148"/>
    <mergeCell ref="HNY146:HNY148"/>
    <mergeCell ref="HOG146:HOG148"/>
    <mergeCell ref="HOO146:HOO148"/>
    <mergeCell ref="HTM146:HTM148"/>
    <mergeCell ref="HTU146:HTU148"/>
    <mergeCell ref="HUC146:HUC148"/>
    <mergeCell ref="HUK146:HUK148"/>
    <mergeCell ref="HUS146:HUS148"/>
    <mergeCell ref="HVA146:HVA148"/>
    <mergeCell ref="HVI146:HVI148"/>
    <mergeCell ref="HVQ146:HVQ148"/>
    <mergeCell ref="HVY146:HVY148"/>
    <mergeCell ref="HWG146:HWG148"/>
    <mergeCell ref="IBU146:IBU148"/>
    <mergeCell ref="ICC146:ICC148"/>
    <mergeCell ref="ICK146:ICK148"/>
    <mergeCell ref="ICS146:ICS148"/>
    <mergeCell ref="IDA146:IDA148"/>
    <mergeCell ref="IDI146:IDI148"/>
    <mergeCell ref="IDQ146:IDQ148"/>
    <mergeCell ref="HWO146:HWO148"/>
    <mergeCell ref="HWW146:HWW148"/>
    <mergeCell ref="HXE146:HXE148"/>
    <mergeCell ref="HXM146:HXM148"/>
    <mergeCell ref="HXU146:HXU148"/>
    <mergeCell ref="HYC146:HYC148"/>
    <mergeCell ref="HYK146:HYK148"/>
    <mergeCell ref="HYS146:HYS148"/>
    <mergeCell ref="HZA146:HZA148"/>
    <mergeCell ref="HZI146:HZI148"/>
    <mergeCell ref="HZQ146:HZQ148"/>
    <mergeCell ref="HZY146:HZY148"/>
    <mergeCell ref="IAG146:IAG148"/>
    <mergeCell ref="IAO146:IAO148"/>
    <mergeCell ref="IAW146:IAW148"/>
    <mergeCell ref="IRU146:IRU148"/>
    <mergeCell ref="ISC146:ISC148"/>
    <mergeCell ref="IIW146:IIW148"/>
    <mergeCell ref="IJE146:IJE148"/>
    <mergeCell ref="IJM146:IJM148"/>
    <mergeCell ref="IJU146:IJU148"/>
    <mergeCell ref="IKC146:IKC148"/>
    <mergeCell ref="IKK146:IKK148"/>
    <mergeCell ref="IKS146:IKS148"/>
    <mergeCell ref="ILA146:ILA148"/>
    <mergeCell ref="ILI146:ILI148"/>
    <mergeCell ref="ILQ146:ILQ148"/>
    <mergeCell ref="ILY146:ILY148"/>
    <mergeCell ref="IMG146:IMG148"/>
    <mergeCell ref="IMO146:IMO148"/>
    <mergeCell ref="IMW146:IMW148"/>
    <mergeCell ref="INE146:INE148"/>
    <mergeCell ref="ISK146:ISK148"/>
    <mergeCell ref="ISS146:ISS148"/>
    <mergeCell ref="ITA146:ITA148"/>
    <mergeCell ref="ITI146:ITI148"/>
    <mergeCell ref="ITQ146:ITQ148"/>
    <mergeCell ref="ITY146:ITY148"/>
    <mergeCell ref="IUG146:IUG148"/>
    <mergeCell ref="IUO146:IUO148"/>
    <mergeCell ref="IUW146:IUW148"/>
    <mergeCell ref="JAK146:JAK148"/>
    <mergeCell ref="JAS146:JAS148"/>
    <mergeCell ref="JBA146:JBA148"/>
    <mergeCell ref="IVE146:IVE148"/>
    <mergeCell ref="IVM146:IVM148"/>
    <mergeCell ref="IVU146:IVU148"/>
    <mergeCell ref="IWC146:IWC148"/>
    <mergeCell ref="IWK146:IWK148"/>
    <mergeCell ref="IWS146:IWS148"/>
    <mergeCell ref="IXA146:IXA148"/>
    <mergeCell ref="IXI146:IXI148"/>
    <mergeCell ref="IXQ146:IXQ148"/>
    <mergeCell ref="IXY146:IXY148"/>
    <mergeCell ref="IYG146:IYG148"/>
    <mergeCell ref="IYO146:IYO148"/>
    <mergeCell ref="IYW146:IYW148"/>
    <mergeCell ref="IZE146:IZE148"/>
    <mergeCell ref="IZM146:IZM148"/>
    <mergeCell ref="JPU146:JPU148"/>
    <mergeCell ref="JQC146:JQC148"/>
    <mergeCell ref="JHM146:JHM148"/>
    <mergeCell ref="JHU146:JHU148"/>
    <mergeCell ref="JIC146:JIC148"/>
    <mergeCell ref="JIK146:JIK148"/>
    <mergeCell ref="JIS146:JIS148"/>
    <mergeCell ref="JJA146:JJA148"/>
    <mergeCell ref="JJI146:JJI148"/>
    <mergeCell ref="JJQ146:JJQ148"/>
    <mergeCell ref="JJY146:JJY148"/>
    <mergeCell ref="JKG146:JKG148"/>
    <mergeCell ref="JKO146:JKO148"/>
    <mergeCell ref="JKW146:JKW148"/>
    <mergeCell ref="JLE146:JLE148"/>
    <mergeCell ref="JLM146:JLM148"/>
    <mergeCell ref="JLU146:JLU148"/>
    <mergeCell ref="JQK146:JQK148"/>
    <mergeCell ref="JQS146:JQS148"/>
    <mergeCell ref="JMC146:JMC148"/>
    <mergeCell ref="JMK146:JMK148"/>
    <mergeCell ref="JRA146:JRA148"/>
    <mergeCell ref="JRI146:JRI148"/>
    <mergeCell ref="JRQ146:JRQ148"/>
    <mergeCell ref="JRY146:JRY148"/>
    <mergeCell ref="JSG146:JSG148"/>
    <mergeCell ref="JSO146:JSO148"/>
    <mergeCell ref="JSW146:JSW148"/>
    <mergeCell ref="JTE146:JTE148"/>
    <mergeCell ref="JTM146:JTM148"/>
    <mergeCell ref="JZA146:JZA148"/>
    <mergeCell ref="JZI146:JZI148"/>
    <mergeCell ref="JZQ146:JZQ148"/>
    <mergeCell ref="JZY146:JZY148"/>
    <mergeCell ref="JTU146:JTU148"/>
    <mergeCell ref="JUC146:JUC148"/>
    <mergeCell ref="JUK146:JUK148"/>
    <mergeCell ref="JUS146:JUS148"/>
    <mergeCell ref="JVA146:JVA148"/>
    <mergeCell ref="JVI146:JVI148"/>
    <mergeCell ref="JVQ146:JVQ148"/>
    <mergeCell ref="JVY146:JVY148"/>
    <mergeCell ref="JWG146:JWG148"/>
    <mergeCell ref="JWO146:JWO148"/>
    <mergeCell ref="JWW146:JWW148"/>
    <mergeCell ref="JXE146:JXE148"/>
    <mergeCell ref="JXM146:JXM148"/>
    <mergeCell ref="JXU146:JXU148"/>
    <mergeCell ref="JYC146:JYC148"/>
    <mergeCell ref="KOC146:KOC148"/>
    <mergeCell ref="KOK146:KOK148"/>
    <mergeCell ref="KGC146:KGC148"/>
    <mergeCell ref="KGK146:KGK148"/>
    <mergeCell ref="KGS146:KGS148"/>
    <mergeCell ref="KHA146:KHA148"/>
    <mergeCell ref="KHI146:KHI148"/>
    <mergeCell ref="KHQ146:KHQ148"/>
    <mergeCell ref="KHY146:KHY148"/>
    <mergeCell ref="KIG146:KIG148"/>
    <mergeCell ref="KIO146:KIO148"/>
    <mergeCell ref="KIW146:KIW148"/>
    <mergeCell ref="KJE146:KJE148"/>
    <mergeCell ref="KJM146:KJM148"/>
    <mergeCell ref="KJU146:KJU148"/>
    <mergeCell ref="KKC146:KKC148"/>
    <mergeCell ref="KKK146:KKK148"/>
    <mergeCell ref="KOS146:KOS148"/>
    <mergeCell ref="KPA146:KPA148"/>
    <mergeCell ref="KPI146:KPI148"/>
    <mergeCell ref="KPQ146:KPQ148"/>
    <mergeCell ref="KPY146:KPY148"/>
    <mergeCell ref="KQG146:KQG148"/>
    <mergeCell ref="KQO146:KQO148"/>
    <mergeCell ref="KQW146:KQW148"/>
    <mergeCell ref="KRE146:KRE148"/>
    <mergeCell ref="KRM146:KRM148"/>
    <mergeCell ref="KRU146:KRU148"/>
    <mergeCell ref="KSC146:KSC148"/>
    <mergeCell ref="KXQ146:KXQ148"/>
    <mergeCell ref="KXY146:KXY148"/>
    <mergeCell ref="KYG146:KYG148"/>
    <mergeCell ref="KYO146:KYO148"/>
    <mergeCell ref="KYW146:KYW148"/>
    <mergeCell ref="KSK146:KSK148"/>
    <mergeCell ref="KSS146:KSS148"/>
    <mergeCell ref="KTA146:KTA148"/>
    <mergeCell ref="KTI146:KTI148"/>
    <mergeCell ref="KTQ146:KTQ148"/>
    <mergeCell ref="KTY146:KTY148"/>
    <mergeCell ref="KUG146:KUG148"/>
    <mergeCell ref="KUO146:KUO148"/>
    <mergeCell ref="KUW146:KUW148"/>
    <mergeCell ref="KVE146:KVE148"/>
    <mergeCell ref="KVM146:KVM148"/>
    <mergeCell ref="KVU146:KVU148"/>
    <mergeCell ref="KWC146:KWC148"/>
    <mergeCell ref="KWK146:KWK148"/>
    <mergeCell ref="KWS146:KWS148"/>
    <mergeCell ref="LNA146:LNA148"/>
    <mergeCell ref="LNI146:LNI148"/>
    <mergeCell ref="LES146:LES148"/>
    <mergeCell ref="LFA146:LFA148"/>
    <mergeCell ref="LFI146:LFI148"/>
    <mergeCell ref="LFQ146:LFQ148"/>
    <mergeCell ref="LFY146:LFY148"/>
    <mergeCell ref="LGG146:LGG148"/>
    <mergeCell ref="LGO146:LGO148"/>
    <mergeCell ref="LGW146:LGW148"/>
    <mergeCell ref="LHE146:LHE148"/>
    <mergeCell ref="LHM146:LHM148"/>
    <mergeCell ref="LHU146:LHU148"/>
    <mergeCell ref="LIC146:LIC148"/>
    <mergeCell ref="LIK146:LIK148"/>
    <mergeCell ref="LIS146:LIS148"/>
    <mergeCell ref="LJA146:LJA148"/>
    <mergeCell ref="LNQ146:LNQ148"/>
    <mergeCell ref="LNY146:LNY148"/>
    <mergeCell ref="LOG146:LOG148"/>
    <mergeCell ref="LOO146:LOO148"/>
    <mergeCell ref="LOW146:LOW148"/>
    <mergeCell ref="LPE146:LPE148"/>
    <mergeCell ref="LPM146:LPM148"/>
    <mergeCell ref="LPU146:LPU148"/>
    <mergeCell ref="LQC146:LQC148"/>
    <mergeCell ref="LQK146:LQK148"/>
    <mergeCell ref="LQS146:LQS148"/>
    <mergeCell ref="LWG146:LWG148"/>
    <mergeCell ref="LRA146:LRA148"/>
    <mergeCell ref="LRI146:LRI148"/>
    <mergeCell ref="LRQ146:LRQ148"/>
    <mergeCell ref="LRY146:LRY148"/>
    <mergeCell ref="LSG146:LSG148"/>
    <mergeCell ref="LSO146:LSO148"/>
    <mergeCell ref="LSW146:LSW148"/>
    <mergeCell ref="LTE146:LTE148"/>
    <mergeCell ref="LTM146:LTM148"/>
    <mergeCell ref="LTU146:LTU148"/>
    <mergeCell ref="LUC146:LUC148"/>
    <mergeCell ref="LUK146:LUK148"/>
    <mergeCell ref="LUS146:LUS148"/>
    <mergeCell ref="LVA146:LVA148"/>
    <mergeCell ref="LVI146:LVI148"/>
    <mergeCell ref="MLA146:MLA148"/>
    <mergeCell ref="MLI146:MLI148"/>
    <mergeCell ref="MDI146:MDI148"/>
    <mergeCell ref="MDQ146:MDQ148"/>
    <mergeCell ref="MDY146:MDY148"/>
    <mergeCell ref="MEG146:MEG148"/>
    <mergeCell ref="MEO146:MEO148"/>
    <mergeCell ref="MEW146:MEW148"/>
    <mergeCell ref="MFE146:MFE148"/>
    <mergeCell ref="MFM146:MFM148"/>
    <mergeCell ref="MFU146:MFU148"/>
    <mergeCell ref="MGC146:MGC148"/>
    <mergeCell ref="MGK146:MGK148"/>
    <mergeCell ref="MGS146:MGS148"/>
    <mergeCell ref="MHA146:MHA148"/>
    <mergeCell ref="MHI146:MHI148"/>
    <mergeCell ref="MHQ146:MHQ148"/>
    <mergeCell ref="MLQ146:MLQ148"/>
    <mergeCell ref="MLY146:MLY148"/>
    <mergeCell ref="MHY146:MHY148"/>
    <mergeCell ref="MIG146:MIG148"/>
    <mergeCell ref="MMG146:MMG148"/>
    <mergeCell ref="MMO146:MMO148"/>
    <mergeCell ref="MMW146:MMW148"/>
    <mergeCell ref="MNE146:MNE148"/>
    <mergeCell ref="MNM146:MNM148"/>
    <mergeCell ref="MNU146:MNU148"/>
    <mergeCell ref="MOC146:MOC148"/>
    <mergeCell ref="MOK146:MOK148"/>
    <mergeCell ref="MOS146:MOS148"/>
    <mergeCell ref="MPA146:MPA148"/>
    <mergeCell ref="MPI146:MPI148"/>
    <mergeCell ref="MUW146:MUW148"/>
    <mergeCell ref="MVE146:MVE148"/>
    <mergeCell ref="MPQ146:MPQ148"/>
    <mergeCell ref="MPY146:MPY148"/>
    <mergeCell ref="MQG146:MQG148"/>
    <mergeCell ref="MQO146:MQO148"/>
    <mergeCell ref="MQW146:MQW148"/>
    <mergeCell ref="MRE146:MRE148"/>
    <mergeCell ref="MRM146:MRM148"/>
    <mergeCell ref="MRU146:MRU148"/>
    <mergeCell ref="MSC146:MSC148"/>
    <mergeCell ref="MSK146:MSK148"/>
    <mergeCell ref="MSS146:MSS148"/>
    <mergeCell ref="MTA146:MTA148"/>
    <mergeCell ref="MTI146:MTI148"/>
    <mergeCell ref="MTQ146:MTQ148"/>
    <mergeCell ref="MTY146:MTY148"/>
    <mergeCell ref="NHE146:NHE148"/>
    <mergeCell ref="NHM146:NHM148"/>
    <mergeCell ref="NHU146:NHU148"/>
    <mergeCell ref="NIC146:NIC148"/>
    <mergeCell ref="NIK146:NIK148"/>
    <mergeCell ref="NIS146:NIS148"/>
    <mergeCell ref="NJA146:NJA148"/>
    <mergeCell ref="NJI146:NJI148"/>
    <mergeCell ref="NJQ146:NJQ148"/>
    <mergeCell ref="NJY146:NJY148"/>
    <mergeCell ref="NKG146:NKG148"/>
    <mergeCell ref="NBY146:NBY148"/>
    <mergeCell ref="NCG146:NCG148"/>
    <mergeCell ref="NCO146:NCO148"/>
    <mergeCell ref="NCW146:NCW148"/>
    <mergeCell ref="NDE146:NDE148"/>
    <mergeCell ref="NDM146:NDM148"/>
    <mergeCell ref="NDU146:NDU148"/>
    <mergeCell ref="NEC146:NEC148"/>
    <mergeCell ref="NEK146:NEK148"/>
    <mergeCell ref="NES146:NES148"/>
    <mergeCell ref="NFA146:NFA148"/>
    <mergeCell ref="NFI146:NFI148"/>
    <mergeCell ref="NFQ146:NFQ148"/>
    <mergeCell ref="NFY146:NFY148"/>
    <mergeCell ref="NGG146:NGG148"/>
    <mergeCell ref="NTM146:NTM148"/>
    <mergeCell ref="NTU146:NTU148"/>
    <mergeCell ref="NUC146:NUC148"/>
    <mergeCell ref="NUK146:NUK148"/>
    <mergeCell ref="NUS146:NUS148"/>
    <mergeCell ref="NVA146:NVA148"/>
    <mergeCell ref="NVI146:NVI148"/>
    <mergeCell ref="NVQ146:NVQ148"/>
    <mergeCell ref="NVY146:NVY148"/>
    <mergeCell ref="NWG146:NWG148"/>
    <mergeCell ref="NWO146:NWO148"/>
    <mergeCell ref="NSW146:NSW148"/>
    <mergeCell ref="NTE146:NTE148"/>
    <mergeCell ref="NWW146:NWW148"/>
    <mergeCell ref="NXE146:NXE148"/>
    <mergeCell ref="NXM146:NXM148"/>
    <mergeCell ref="NXU146:NXU148"/>
    <mergeCell ref="NYC146:NYC148"/>
    <mergeCell ref="NYK146:NYK148"/>
    <mergeCell ref="NYS146:NYS148"/>
    <mergeCell ref="NZA146:NZA148"/>
    <mergeCell ref="NZI146:NZI148"/>
    <mergeCell ref="NZQ146:NZQ148"/>
    <mergeCell ref="NZY146:NZY148"/>
    <mergeCell ref="OAG146:OAG148"/>
    <mergeCell ref="OFU146:OFU148"/>
    <mergeCell ref="OGC146:OGC148"/>
    <mergeCell ref="OGK146:OGK148"/>
    <mergeCell ref="OGS146:OGS148"/>
    <mergeCell ref="OHA146:OHA148"/>
    <mergeCell ref="OAO146:OAO148"/>
    <mergeCell ref="OAW146:OAW148"/>
    <mergeCell ref="OBE146:OBE148"/>
    <mergeCell ref="OBM146:OBM148"/>
    <mergeCell ref="OBU146:OBU148"/>
    <mergeCell ref="OCC146:OCC148"/>
    <mergeCell ref="OCK146:OCK148"/>
    <mergeCell ref="OCS146:OCS148"/>
    <mergeCell ref="ODA146:ODA148"/>
    <mergeCell ref="ODI146:ODI148"/>
    <mergeCell ref="ODQ146:ODQ148"/>
    <mergeCell ref="ODY146:ODY148"/>
    <mergeCell ref="OEG146:OEG148"/>
    <mergeCell ref="OEO146:OEO148"/>
    <mergeCell ref="OEW146:OEW148"/>
    <mergeCell ref="OFE146:OFE148"/>
    <mergeCell ref="OFM146:OFM148"/>
    <mergeCell ref="OVU146:OVU148"/>
    <mergeCell ref="OWC146:OWC148"/>
    <mergeCell ref="OMW146:OMW148"/>
    <mergeCell ref="ONE146:ONE148"/>
    <mergeCell ref="ONM146:ONM148"/>
    <mergeCell ref="ONU146:ONU148"/>
    <mergeCell ref="OOC146:OOC148"/>
    <mergeCell ref="OOK146:OOK148"/>
    <mergeCell ref="OOS146:OOS148"/>
    <mergeCell ref="OPA146:OPA148"/>
    <mergeCell ref="OPI146:OPI148"/>
    <mergeCell ref="OPQ146:OPQ148"/>
    <mergeCell ref="OPY146:OPY148"/>
    <mergeCell ref="OQG146:OQG148"/>
    <mergeCell ref="OQO146:OQO148"/>
    <mergeCell ref="OQW146:OQW148"/>
    <mergeCell ref="ORE146:ORE148"/>
    <mergeCell ref="OWK146:OWK148"/>
    <mergeCell ref="OWS146:OWS148"/>
    <mergeCell ref="ORM146:ORM148"/>
    <mergeCell ref="ORU146:ORU148"/>
    <mergeCell ref="OXA146:OXA148"/>
    <mergeCell ref="OXI146:OXI148"/>
    <mergeCell ref="OXQ146:OXQ148"/>
    <mergeCell ref="OXY146:OXY148"/>
    <mergeCell ref="OYG146:OYG148"/>
    <mergeCell ref="OYO146:OYO148"/>
    <mergeCell ref="OYW146:OYW148"/>
    <mergeCell ref="PEK146:PEK148"/>
    <mergeCell ref="PES146:PES148"/>
    <mergeCell ref="PFA146:PFA148"/>
    <mergeCell ref="PFI146:PFI148"/>
    <mergeCell ref="PFQ146:PFQ148"/>
    <mergeCell ref="PFY146:PFY148"/>
    <mergeCell ref="OZE146:OZE148"/>
    <mergeCell ref="OZM146:OZM148"/>
    <mergeCell ref="OZU146:OZU148"/>
    <mergeCell ref="PAC146:PAC148"/>
    <mergeCell ref="PAK146:PAK148"/>
    <mergeCell ref="PAS146:PAS148"/>
    <mergeCell ref="PBA146:PBA148"/>
    <mergeCell ref="PBI146:PBI148"/>
    <mergeCell ref="PBQ146:PBQ148"/>
    <mergeCell ref="PBY146:PBY148"/>
    <mergeCell ref="PCG146:PCG148"/>
    <mergeCell ref="PCO146:PCO148"/>
    <mergeCell ref="PCW146:PCW148"/>
    <mergeCell ref="PDE146:PDE148"/>
    <mergeCell ref="PDM146:PDM148"/>
    <mergeCell ref="PUC146:PUC148"/>
    <mergeCell ref="PUK146:PUK148"/>
    <mergeCell ref="PLM146:PLM148"/>
    <mergeCell ref="PLU146:PLU148"/>
    <mergeCell ref="PMC146:PMC148"/>
    <mergeCell ref="PMK146:PMK148"/>
    <mergeCell ref="PMS146:PMS148"/>
    <mergeCell ref="PNA146:PNA148"/>
    <mergeCell ref="PNI146:PNI148"/>
    <mergeCell ref="PNQ146:PNQ148"/>
    <mergeCell ref="PNY146:PNY148"/>
    <mergeCell ref="POG146:POG148"/>
    <mergeCell ref="POO146:POO148"/>
    <mergeCell ref="POW146:POW148"/>
    <mergeCell ref="PPE146:PPE148"/>
    <mergeCell ref="PPM146:PPM148"/>
    <mergeCell ref="PPU146:PPU148"/>
    <mergeCell ref="PUS146:PUS148"/>
    <mergeCell ref="PVA146:PVA148"/>
    <mergeCell ref="PVI146:PVI148"/>
    <mergeCell ref="PVQ146:PVQ148"/>
    <mergeCell ref="PVY146:PVY148"/>
    <mergeCell ref="PWG146:PWG148"/>
    <mergeCell ref="PWO146:PWO148"/>
    <mergeCell ref="PWW146:PWW148"/>
    <mergeCell ref="PXE146:PXE148"/>
    <mergeCell ref="PXM146:PXM148"/>
    <mergeCell ref="QDA146:QDA148"/>
    <mergeCell ref="QDI146:QDI148"/>
    <mergeCell ref="QDQ146:QDQ148"/>
    <mergeCell ref="QDY146:QDY148"/>
    <mergeCell ref="QEG146:QEG148"/>
    <mergeCell ref="QEO146:QEO148"/>
    <mergeCell ref="QEW146:QEW148"/>
    <mergeCell ref="PXU146:PXU148"/>
    <mergeCell ref="PYC146:PYC148"/>
    <mergeCell ref="PYK146:PYK148"/>
    <mergeCell ref="PYS146:PYS148"/>
    <mergeCell ref="PZA146:PZA148"/>
    <mergeCell ref="PZI146:PZI148"/>
    <mergeCell ref="PZQ146:PZQ148"/>
    <mergeCell ref="PZY146:PZY148"/>
    <mergeCell ref="QAG146:QAG148"/>
    <mergeCell ref="QAO146:QAO148"/>
    <mergeCell ref="QAW146:QAW148"/>
    <mergeCell ref="QBE146:QBE148"/>
    <mergeCell ref="QBM146:QBM148"/>
    <mergeCell ref="QBU146:QBU148"/>
    <mergeCell ref="QCC146:QCC148"/>
    <mergeCell ref="QTA146:QTA148"/>
    <mergeCell ref="QTI146:QTI148"/>
    <mergeCell ref="QKC146:QKC148"/>
    <mergeCell ref="QKK146:QKK148"/>
    <mergeCell ref="QKS146:QKS148"/>
    <mergeCell ref="QLA146:QLA148"/>
    <mergeCell ref="QLI146:QLI148"/>
    <mergeCell ref="QLQ146:QLQ148"/>
    <mergeCell ref="QLY146:QLY148"/>
    <mergeCell ref="QMG146:QMG148"/>
    <mergeCell ref="QMO146:QMO148"/>
    <mergeCell ref="QMW146:QMW148"/>
    <mergeCell ref="QNE146:QNE148"/>
    <mergeCell ref="QNM146:QNM148"/>
    <mergeCell ref="QNU146:QNU148"/>
    <mergeCell ref="QOC146:QOC148"/>
    <mergeCell ref="QOK146:QOK148"/>
    <mergeCell ref="QTQ146:QTQ148"/>
    <mergeCell ref="QTY146:QTY148"/>
    <mergeCell ref="QUG146:QUG148"/>
    <mergeCell ref="QUO146:QUO148"/>
    <mergeCell ref="QUW146:QUW148"/>
    <mergeCell ref="QVE146:QVE148"/>
    <mergeCell ref="QVM146:QVM148"/>
    <mergeCell ref="QVU146:QVU148"/>
    <mergeCell ref="QWC146:QWC148"/>
    <mergeCell ref="RBQ146:RBQ148"/>
    <mergeCell ref="RBY146:RBY148"/>
    <mergeCell ref="RCG146:RCG148"/>
    <mergeCell ref="QWK146:QWK148"/>
    <mergeCell ref="QWS146:QWS148"/>
    <mergeCell ref="QXA146:QXA148"/>
    <mergeCell ref="QXI146:QXI148"/>
    <mergeCell ref="QXQ146:QXQ148"/>
    <mergeCell ref="QXY146:QXY148"/>
    <mergeCell ref="QYG146:QYG148"/>
    <mergeCell ref="QYO146:QYO148"/>
    <mergeCell ref="QYW146:QYW148"/>
    <mergeCell ref="QZE146:QZE148"/>
    <mergeCell ref="QZM146:QZM148"/>
    <mergeCell ref="QZU146:QZU148"/>
    <mergeCell ref="RAC146:RAC148"/>
    <mergeCell ref="RAK146:RAK148"/>
    <mergeCell ref="RAS146:RAS148"/>
    <mergeCell ref="RRA146:RRA148"/>
    <mergeCell ref="RRI146:RRI148"/>
    <mergeCell ref="RIS146:RIS148"/>
    <mergeCell ref="RJA146:RJA148"/>
    <mergeCell ref="RJI146:RJI148"/>
    <mergeCell ref="RJQ146:RJQ148"/>
    <mergeCell ref="RJY146:RJY148"/>
    <mergeCell ref="RKG146:RKG148"/>
    <mergeCell ref="RKO146:RKO148"/>
    <mergeCell ref="RKW146:RKW148"/>
    <mergeCell ref="RLE146:RLE148"/>
    <mergeCell ref="RLM146:RLM148"/>
    <mergeCell ref="RLU146:RLU148"/>
    <mergeCell ref="RMC146:RMC148"/>
    <mergeCell ref="RMK146:RMK148"/>
    <mergeCell ref="RMS146:RMS148"/>
    <mergeCell ref="RNA146:RNA148"/>
    <mergeCell ref="RRQ146:RRQ148"/>
    <mergeCell ref="RRY146:RRY148"/>
    <mergeCell ref="RNI146:RNI148"/>
    <mergeCell ref="RNQ146:RNQ148"/>
    <mergeCell ref="RSG146:RSG148"/>
    <mergeCell ref="RSO146:RSO148"/>
    <mergeCell ref="RSW146:RSW148"/>
    <mergeCell ref="RTE146:RTE148"/>
    <mergeCell ref="RTM146:RTM148"/>
    <mergeCell ref="RTU146:RTU148"/>
    <mergeCell ref="RUC146:RUC148"/>
    <mergeCell ref="RUK146:RUK148"/>
    <mergeCell ref="RUS146:RUS148"/>
    <mergeCell ref="SAG146:SAG148"/>
    <mergeCell ref="SAO146:SAO148"/>
    <mergeCell ref="SAW146:SAW148"/>
    <mergeCell ref="SBE146:SBE148"/>
    <mergeCell ref="RVA146:RVA148"/>
    <mergeCell ref="RVI146:RVI148"/>
    <mergeCell ref="RVQ146:RVQ148"/>
    <mergeCell ref="RVY146:RVY148"/>
    <mergeCell ref="RWG146:RWG148"/>
    <mergeCell ref="RWO146:RWO148"/>
    <mergeCell ref="RWW146:RWW148"/>
    <mergeCell ref="RXE146:RXE148"/>
    <mergeCell ref="RXM146:RXM148"/>
    <mergeCell ref="RXU146:RXU148"/>
    <mergeCell ref="RYC146:RYC148"/>
    <mergeCell ref="RYK146:RYK148"/>
    <mergeCell ref="RYS146:RYS148"/>
    <mergeCell ref="RZA146:RZA148"/>
    <mergeCell ref="RZI146:RZI148"/>
    <mergeCell ref="SPI146:SPI148"/>
    <mergeCell ref="SPQ146:SPQ148"/>
    <mergeCell ref="SHI146:SHI148"/>
    <mergeCell ref="SHQ146:SHQ148"/>
    <mergeCell ref="SHY146:SHY148"/>
    <mergeCell ref="SIG146:SIG148"/>
    <mergeCell ref="SIO146:SIO148"/>
    <mergeCell ref="SIW146:SIW148"/>
    <mergeCell ref="SJE146:SJE148"/>
    <mergeCell ref="SJM146:SJM148"/>
    <mergeCell ref="SJU146:SJU148"/>
    <mergeCell ref="SKC146:SKC148"/>
    <mergeCell ref="SKK146:SKK148"/>
    <mergeCell ref="SKS146:SKS148"/>
    <mergeCell ref="SLA146:SLA148"/>
    <mergeCell ref="SLI146:SLI148"/>
    <mergeCell ref="SLQ146:SLQ148"/>
    <mergeCell ref="SPY146:SPY148"/>
    <mergeCell ref="SQG146:SQG148"/>
    <mergeCell ref="SQO146:SQO148"/>
    <mergeCell ref="SQW146:SQW148"/>
    <mergeCell ref="SRE146:SRE148"/>
    <mergeCell ref="SRM146:SRM148"/>
    <mergeCell ref="SRU146:SRU148"/>
    <mergeCell ref="SSC146:SSC148"/>
    <mergeCell ref="SSK146:SSK148"/>
    <mergeCell ref="SSS146:SSS148"/>
    <mergeCell ref="STA146:STA148"/>
    <mergeCell ref="STI146:STI148"/>
    <mergeCell ref="SYW146:SYW148"/>
    <mergeCell ref="SZE146:SZE148"/>
    <mergeCell ref="SZM146:SZM148"/>
    <mergeCell ref="SZU146:SZU148"/>
    <mergeCell ref="TAC146:TAC148"/>
    <mergeCell ref="STQ146:STQ148"/>
    <mergeCell ref="STY146:STY148"/>
    <mergeCell ref="SUG146:SUG148"/>
    <mergeCell ref="SUO146:SUO148"/>
    <mergeCell ref="SUW146:SUW148"/>
    <mergeCell ref="SVE146:SVE148"/>
    <mergeCell ref="SVM146:SVM148"/>
    <mergeCell ref="SVU146:SVU148"/>
    <mergeCell ref="SWC146:SWC148"/>
    <mergeCell ref="SWK146:SWK148"/>
    <mergeCell ref="SWS146:SWS148"/>
    <mergeCell ref="SXA146:SXA148"/>
    <mergeCell ref="SXI146:SXI148"/>
    <mergeCell ref="SXQ146:SXQ148"/>
    <mergeCell ref="SXY146:SXY148"/>
    <mergeCell ref="TOG146:TOG148"/>
    <mergeCell ref="TOO146:TOO148"/>
    <mergeCell ref="TFY146:TFY148"/>
    <mergeCell ref="TGG146:TGG148"/>
    <mergeCell ref="TGO146:TGO148"/>
    <mergeCell ref="TGW146:TGW148"/>
    <mergeCell ref="THE146:THE148"/>
    <mergeCell ref="THM146:THM148"/>
    <mergeCell ref="THU146:THU148"/>
    <mergeCell ref="TIC146:TIC148"/>
    <mergeCell ref="TIK146:TIK148"/>
    <mergeCell ref="TIS146:TIS148"/>
    <mergeCell ref="TJA146:TJA148"/>
    <mergeCell ref="TJI146:TJI148"/>
    <mergeCell ref="TJQ146:TJQ148"/>
    <mergeCell ref="TJY146:TJY148"/>
    <mergeCell ref="TKG146:TKG148"/>
    <mergeCell ref="TOW146:TOW148"/>
    <mergeCell ref="TPE146:TPE148"/>
    <mergeCell ref="TPM146:TPM148"/>
    <mergeCell ref="TPU146:TPU148"/>
    <mergeCell ref="TQC146:TQC148"/>
    <mergeCell ref="TQK146:TQK148"/>
    <mergeCell ref="TQS146:TQS148"/>
    <mergeCell ref="TRA146:TRA148"/>
    <mergeCell ref="TRI146:TRI148"/>
    <mergeCell ref="TRQ146:TRQ148"/>
    <mergeCell ref="TRY146:TRY148"/>
    <mergeCell ref="TXM146:TXM148"/>
    <mergeCell ref="TSG146:TSG148"/>
    <mergeCell ref="TSO146:TSO148"/>
    <mergeCell ref="TSW146:TSW148"/>
    <mergeCell ref="TTE146:TTE148"/>
    <mergeCell ref="TTM146:TTM148"/>
    <mergeCell ref="TTU146:TTU148"/>
    <mergeCell ref="TUC146:TUC148"/>
    <mergeCell ref="TUK146:TUK148"/>
    <mergeCell ref="TUS146:TUS148"/>
    <mergeCell ref="TVA146:TVA148"/>
    <mergeCell ref="TVI146:TVI148"/>
    <mergeCell ref="TVQ146:TVQ148"/>
    <mergeCell ref="TVY146:TVY148"/>
    <mergeCell ref="TWG146:TWG148"/>
    <mergeCell ref="TWO146:TWO148"/>
    <mergeCell ref="UMG146:UMG148"/>
    <mergeCell ref="UMO146:UMO148"/>
    <mergeCell ref="UEO146:UEO148"/>
    <mergeCell ref="UEW146:UEW148"/>
    <mergeCell ref="UFE146:UFE148"/>
    <mergeCell ref="UFM146:UFM148"/>
    <mergeCell ref="UFU146:UFU148"/>
    <mergeCell ref="UGC146:UGC148"/>
    <mergeCell ref="UGK146:UGK148"/>
    <mergeCell ref="UGS146:UGS148"/>
    <mergeCell ref="UHA146:UHA148"/>
    <mergeCell ref="UHI146:UHI148"/>
    <mergeCell ref="UHQ146:UHQ148"/>
    <mergeCell ref="UHY146:UHY148"/>
    <mergeCell ref="UIG146:UIG148"/>
    <mergeCell ref="UIO146:UIO148"/>
    <mergeCell ref="UIW146:UIW148"/>
    <mergeCell ref="UMW146:UMW148"/>
    <mergeCell ref="UNE146:UNE148"/>
    <mergeCell ref="UJE146:UJE148"/>
    <mergeCell ref="UJM146:UJM148"/>
    <mergeCell ref="UNM146:UNM148"/>
    <mergeCell ref="UNU146:UNU148"/>
    <mergeCell ref="UOC146:UOC148"/>
    <mergeCell ref="UOK146:UOK148"/>
    <mergeCell ref="UOS146:UOS148"/>
    <mergeCell ref="UPA146:UPA148"/>
    <mergeCell ref="UPI146:UPI148"/>
    <mergeCell ref="UPQ146:UPQ148"/>
    <mergeCell ref="UPY146:UPY148"/>
    <mergeCell ref="UQG146:UQG148"/>
    <mergeCell ref="UQO146:UQO148"/>
    <mergeCell ref="UWC146:UWC148"/>
    <mergeCell ref="UWK146:UWK148"/>
    <mergeCell ref="UQW146:UQW148"/>
    <mergeCell ref="URE146:URE148"/>
    <mergeCell ref="URM146:URM148"/>
    <mergeCell ref="URU146:URU148"/>
    <mergeCell ref="USC146:USC148"/>
    <mergeCell ref="USK146:USK148"/>
    <mergeCell ref="USS146:USS148"/>
    <mergeCell ref="UTA146:UTA148"/>
    <mergeCell ref="UTI146:UTI148"/>
    <mergeCell ref="UTQ146:UTQ148"/>
    <mergeCell ref="UTY146:UTY148"/>
    <mergeCell ref="UUG146:UUG148"/>
    <mergeCell ref="UUO146:UUO148"/>
    <mergeCell ref="UUW146:UUW148"/>
    <mergeCell ref="UVE146:UVE148"/>
    <mergeCell ref="VIK146:VIK148"/>
    <mergeCell ref="VIS146:VIS148"/>
    <mergeCell ref="VJA146:VJA148"/>
    <mergeCell ref="VJI146:VJI148"/>
    <mergeCell ref="VJQ146:VJQ148"/>
    <mergeCell ref="VJY146:VJY148"/>
    <mergeCell ref="VKG146:VKG148"/>
    <mergeCell ref="VKO146:VKO148"/>
    <mergeCell ref="VKW146:VKW148"/>
    <mergeCell ref="VLE146:VLE148"/>
    <mergeCell ref="VLM146:VLM148"/>
    <mergeCell ref="VDE146:VDE148"/>
    <mergeCell ref="VDM146:VDM148"/>
    <mergeCell ref="VDU146:VDU148"/>
    <mergeCell ref="VEC146:VEC148"/>
    <mergeCell ref="VEK146:VEK148"/>
    <mergeCell ref="VES146:VES148"/>
    <mergeCell ref="VFA146:VFA148"/>
    <mergeCell ref="VFI146:VFI148"/>
    <mergeCell ref="VFQ146:VFQ148"/>
    <mergeCell ref="VFY146:VFY148"/>
    <mergeCell ref="VGG146:VGG148"/>
    <mergeCell ref="VGO146:VGO148"/>
    <mergeCell ref="VGW146:VGW148"/>
    <mergeCell ref="VHE146:VHE148"/>
    <mergeCell ref="VHM146:VHM148"/>
    <mergeCell ref="VUS146:VUS148"/>
    <mergeCell ref="VVA146:VVA148"/>
    <mergeCell ref="VVI146:VVI148"/>
    <mergeCell ref="VVQ146:VVQ148"/>
    <mergeCell ref="VVY146:VVY148"/>
    <mergeCell ref="VWG146:VWG148"/>
    <mergeCell ref="VWO146:VWO148"/>
    <mergeCell ref="VWW146:VWW148"/>
    <mergeCell ref="VXE146:VXE148"/>
    <mergeCell ref="VXM146:VXM148"/>
    <mergeCell ref="VXU146:VXU148"/>
    <mergeCell ref="VUC146:VUC148"/>
    <mergeCell ref="VUK146:VUK148"/>
    <mergeCell ref="VYC146:VYC148"/>
    <mergeCell ref="VYK146:VYK148"/>
    <mergeCell ref="VYS146:VYS148"/>
    <mergeCell ref="VZA146:VZA148"/>
    <mergeCell ref="VZI146:VZI148"/>
    <mergeCell ref="VZQ146:VZQ148"/>
    <mergeCell ref="VZY146:VZY148"/>
    <mergeCell ref="WAG146:WAG148"/>
    <mergeCell ref="WAO146:WAO148"/>
    <mergeCell ref="WAW146:WAW148"/>
    <mergeCell ref="WBE146:WBE148"/>
    <mergeCell ref="WBM146:WBM148"/>
    <mergeCell ref="WHA146:WHA148"/>
    <mergeCell ref="WHI146:WHI148"/>
    <mergeCell ref="WHQ146:WHQ148"/>
    <mergeCell ref="WHY146:WHY148"/>
    <mergeCell ref="WIG146:WIG148"/>
    <mergeCell ref="WBU146:WBU148"/>
    <mergeCell ref="WCC146:WCC148"/>
    <mergeCell ref="WCK146:WCK148"/>
    <mergeCell ref="WCS146:WCS148"/>
    <mergeCell ref="WDA146:WDA148"/>
    <mergeCell ref="WDI146:WDI148"/>
    <mergeCell ref="WDQ146:WDQ148"/>
    <mergeCell ref="WDY146:WDY148"/>
    <mergeCell ref="WEG146:WEG148"/>
    <mergeCell ref="WEO146:WEO148"/>
    <mergeCell ref="WEW146:WEW148"/>
    <mergeCell ref="WFE146:WFE148"/>
    <mergeCell ref="WFM146:WFM148"/>
    <mergeCell ref="WFU146:WFU148"/>
    <mergeCell ref="WGC146:WGC148"/>
    <mergeCell ref="WGK146:WGK148"/>
    <mergeCell ref="WGS146:WGS148"/>
    <mergeCell ref="WIO146:WIO148"/>
    <mergeCell ref="WIW146:WIW148"/>
    <mergeCell ref="WJE146:WJE148"/>
    <mergeCell ref="WJM146:WJM148"/>
    <mergeCell ref="WJU146:WJU148"/>
    <mergeCell ref="WKC146:WKC148"/>
    <mergeCell ref="WKK146:WKK148"/>
    <mergeCell ref="WKS146:WKS148"/>
    <mergeCell ref="WLA146:WLA148"/>
    <mergeCell ref="WLI146:WLI148"/>
    <mergeCell ref="WLQ146:WLQ148"/>
    <mergeCell ref="WLY146:WLY148"/>
    <mergeCell ref="WMG146:WMG148"/>
    <mergeCell ref="WMO146:WMO148"/>
    <mergeCell ref="WMW146:WMW148"/>
    <mergeCell ref="WNE146:WNE148"/>
    <mergeCell ref="WNM146:WNM148"/>
  </mergeCells>
  <conditionalFormatting sqref="D119:D120">
    <cfRule type="expression" dxfId="82" priority="197">
      <formula>$D$114="Eget värde"</formula>
    </cfRule>
  </conditionalFormatting>
  <conditionalFormatting sqref="C125:D125">
    <cfRule type="expression" dxfId="81" priority="25">
      <formula>$D$122="Eget avstånd"</formula>
    </cfRule>
    <cfRule type="expression" dxfId="80" priority="163">
      <formula>$D$109="Sjötransport"</formula>
    </cfRule>
    <cfRule type="expression" dxfId="79" priority="6">
      <formula>$D$109="Sjötransport"</formula>
    </cfRule>
    <cfRule type="expression" dxfId="78" priority="4">
      <formula>$D$109="Vägtransport"</formula>
    </cfRule>
  </conditionalFormatting>
  <conditionalFormatting sqref="B111:Q120">
    <cfRule type="expression" dxfId="77" priority="161">
      <formula>$D$109="Sjötransport"</formula>
    </cfRule>
  </conditionalFormatting>
  <conditionalFormatting sqref="B126:J126 B121:Q125 O126:Q126">
    <cfRule type="expression" dxfId="76" priority="160">
      <formula>$D$109="Vägtransport"</formula>
    </cfRule>
  </conditionalFormatting>
  <conditionalFormatting sqref="G23">
    <cfRule type="expression" dxfId="75" priority="159">
      <formula>$D$23="Eget värmevärde"</formula>
    </cfRule>
  </conditionalFormatting>
  <conditionalFormatting sqref="K126:M126">
    <cfRule type="expression" dxfId="74" priority="101">
      <formula>$D$109="Vägtransport"</formula>
    </cfRule>
  </conditionalFormatting>
  <conditionalFormatting sqref="N126">
    <cfRule type="expression" dxfId="73" priority="100">
      <formula>$D$109="Vägtransport"</formula>
    </cfRule>
  </conditionalFormatting>
  <conditionalFormatting sqref="A35:Q52 B74 A61:Q61 B72:F73 B62:Q66 G67:Q67 B68:F69 A53:D53 F53:Q53 A54:Q54 G69:Q69 N70:Q74 A77:Q77 A78 G78:Q78 B79:I79 A80:Q90 G70:M73 E74:M74">
    <cfRule type="expression" dxfId="72" priority="91">
      <formula>$I$27</formula>
    </cfRule>
  </conditionalFormatting>
  <conditionalFormatting sqref="G68:Q68">
    <cfRule type="expression" dxfId="71" priority="90">
      <formula>$I$27</formula>
    </cfRule>
  </conditionalFormatting>
  <conditionalFormatting sqref="A79 J79:Q79">
    <cfRule type="expression" dxfId="70" priority="88">
      <formula>$I$27</formula>
    </cfRule>
  </conditionalFormatting>
  <conditionalFormatting sqref="A55:Q58">
    <cfRule type="expression" dxfId="69" priority="81">
      <formula>$I$27</formula>
    </cfRule>
  </conditionalFormatting>
  <conditionalFormatting sqref="B64:Q66 B68:F69 A75:Q77 A78 G78:Q78 A79:Q90 G67:Q74 B72:F74">
    <cfRule type="expression" dxfId="68" priority="80">
      <formula>$D$62="Okänd"</formula>
    </cfRule>
  </conditionalFormatting>
  <conditionalFormatting sqref="C74">
    <cfRule type="expression" dxfId="67" priority="79">
      <formula>$I$27</formula>
    </cfRule>
  </conditionalFormatting>
  <conditionalFormatting sqref="D74">
    <cfRule type="expression" dxfId="66" priority="78">
      <formula>$I$27</formula>
    </cfRule>
  </conditionalFormatting>
  <conditionalFormatting sqref="D74">
    <cfRule type="expression" dxfId="65" priority="77">
      <formula>$D$62="Okänd"</formula>
    </cfRule>
  </conditionalFormatting>
  <conditionalFormatting sqref="D69">
    <cfRule type="expression" dxfId="64" priority="76">
      <formula>$I$27</formula>
    </cfRule>
  </conditionalFormatting>
  <conditionalFormatting sqref="D72">
    <cfRule type="expression" dxfId="63" priority="75">
      <formula>$I$27</formula>
    </cfRule>
  </conditionalFormatting>
  <conditionalFormatting sqref="D73">
    <cfRule type="expression" dxfId="62" priority="74">
      <formula>$I$27</formula>
    </cfRule>
  </conditionalFormatting>
  <conditionalFormatting sqref="B70">
    <cfRule type="expression" dxfId="61" priority="73">
      <formula>$I$27</formula>
    </cfRule>
  </conditionalFormatting>
  <conditionalFormatting sqref="B70">
    <cfRule type="expression" dxfId="60" priority="72">
      <formula>$D$62="Okänd"</formula>
    </cfRule>
  </conditionalFormatting>
  <conditionalFormatting sqref="D70:F70">
    <cfRule type="expression" dxfId="59" priority="71">
      <formula>$I$27</formula>
    </cfRule>
  </conditionalFormatting>
  <conditionalFormatting sqref="D70:F70">
    <cfRule type="expression" dxfId="58" priority="70">
      <formula>$D$62="Okänd"</formula>
    </cfRule>
  </conditionalFormatting>
  <conditionalFormatting sqref="D70">
    <cfRule type="expression" dxfId="57" priority="69">
      <formula>$I$27</formula>
    </cfRule>
  </conditionalFormatting>
  <conditionalFormatting sqref="C70">
    <cfRule type="expression" dxfId="56" priority="68">
      <formula>$D$62="Okänd"</formula>
    </cfRule>
  </conditionalFormatting>
  <conditionalFormatting sqref="C70">
    <cfRule type="expression" dxfId="55" priority="67">
      <formula>$I$27</formula>
    </cfRule>
  </conditionalFormatting>
  <conditionalFormatting sqref="H73">
    <cfRule type="expression" dxfId="54" priority="66">
      <formula>$I$27</formula>
    </cfRule>
  </conditionalFormatting>
  <conditionalFormatting sqref="I73">
    <cfRule type="expression" dxfId="53" priority="65">
      <formula>$I$27</formula>
    </cfRule>
  </conditionalFormatting>
  <conditionalFormatting sqref="B67:F67">
    <cfRule type="expression" dxfId="52" priority="64">
      <formula>$I$27</formula>
    </cfRule>
  </conditionalFormatting>
  <conditionalFormatting sqref="A75:Q105 B64:Q74">
    <cfRule type="expression" dxfId="51" priority="63">
      <formula>$D$62="Okänd"</formula>
    </cfRule>
  </conditionalFormatting>
  <conditionalFormatting sqref="B78:F78">
    <cfRule type="expression" dxfId="50" priority="62">
      <formula>$I$27</formula>
    </cfRule>
  </conditionalFormatting>
  <conditionalFormatting sqref="B78:F78">
    <cfRule type="expression" dxfId="49" priority="61">
      <formula>$D$62="Okänd"</formula>
    </cfRule>
  </conditionalFormatting>
  <conditionalFormatting sqref="B71 E71:F71">
    <cfRule type="expression" dxfId="48" priority="60">
      <formula>$I$27</formula>
    </cfRule>
  </conditionalFormatting>
  <conditionalFormatting sqref="B71:F71">
    <cfRule type="expression" dxfId="47" priority="59">
      <formula>$D$62="Okänd"</formula>
    </cfRule>
  </conditionalFormatting>
  <conditionalFormatting sqref="C71">
    <cfRule type="expression" dxfId="46" priority="58">
      <formula>$I$27</formula>
    </cfRule>
  </conditionalFormatting>
  <conditionalFormatting sqref="D71">
    <cfRule type="expression" dxfId="45" priority="57">
      <formula>$I$27</formula>
    </cfRule>
  </conditionalFormatting>
  <conditionalFormatting sqref="D71">
    <cfRule type="expression" dxfId="44" priority="56">
      <formula>$D$62="Okänd"</formula>
    </cfRule>
  </conditionalFormatting>
  <conditionalFormatting sqref="B105 A93:Q93 B103:F104 B94:Q97 B99:F100 G100:Q100 N101:Q105 G101:M104 E105:M105 G98:Q98">
    <cfRule type="expression" dxfId="43" priority="55">
      <formula>$I$27</formula>
    </cfRule>
  </conditionalFormatting>
  <conditionalFormatting sqref="G99:Q99">
    <cfRule type="expression" dxfId="42" priority="54">
      <formula>$I$27</formula>
    </cfRule>
  </conditionalFormatting>
  <conditionalFormatting sqref="B96:Q97 B99:F100 B103:F105 G98:Q105">
    <cfRule type="expression" dxfId="41" priority="53">
      <formula>$D$62="Okänd"</formula>
    </cfRule>
  </conditionalFormatting>
  <conditionalFormatting sqref="C105">
    <cfRule type="expression" dxfId="40" priority="52">
      <formula>$I$27</formula>
    </cfRule>
  </conditionalFormatting>
  <conditionalFormatting sqref="D105">
    <cfRule type="expression" dxfId="39" priority="51">
      <formula>$I$27</formula>
    </cfRule>
  </conditionalFormatting>
  <conditionalFormatting sqref="D105">
    <cfRule type="expression" dxfId="38" priority="50">
      <formula>$D$62="Okänd"</formula>
    </cfRule>
  </conditionalFormatting>
  <conditionalFormatting sqref="D100">
    <cfRule type="expression" dxfId="37" priority="49">
      <formula>$I$27</formula>
    </cfRule>
  </conditionalFormatting>
  <conditionalFormatting sqref="D103">
    <cfRule type="expression" dxfId="36" priority="48">
      <formula>$I$27</formula>
    </cfRule>
  </conditionalFormatting>
  <conditionalFormatting sqref="D104">
    <cfRule type="expression" dxfId="35" priority="47">
      <formula>$I$27</formula>
    </cfRule>
  </conditionalFormatting>
  <conditionalFormatting sqref="B101">
    <cfRule type="expression" dxfId="34" priority="46">
      <formula>$I$27</formula>
    </cfRule>
  </conditionalFormatting>
  <conditionalFormatting sqref="B101">
    <cfRule type="expression" dxfId="33" priority="45">
      <formula>$D$62="Okänd"</formula>
    </cfRule>
  </conditionalFormatting>
  <conditionalFormatting sqref="D101:F101">
    <cfRule type="expression" dxfId="32" priority="44">
      <formula>$I$27</formula>
    </cfRule>
  </conditionalFormatting>
  <conditionalFormatting sqref="D101:F101">
    <cfRule type="expression" dxfId="31" priority="43">
      <formula>$D$62="Okänd"</formula>
    </cfRule>
  </conditionalFormatting>
  <conditionalFormatting sqref="D101">
    <cfRule type="expression" dxfId="30" priority="42">
      <formula>$I$27</formula>
    </cfRule>
  </conditionalFormatting>
  <conditionalFormatting sqref="C101">
    <cfRule type="expression" dxfId="29" priority="41">
      <formula>$D$62="Okänd"</formula>
    </cfRule>
  </conditionalFormatting>
  <conditionalFormatting sqref="C101">
    <cfRule type="expression" dxfId="28" priority="40">
      <formula>$I$27</formula>
    </cfRule>
  </conditionalFormatting>
  <conditionalFormatting sqref="H104">
    <cfRule type="expression" dxfId="27" priority="39">
      <formula>$I$27</formula>
    </cfRule>
  </conditionalFormatting>
  <conditionalFormatting sqref="I104">
    <cfRule type="expression" dxfId="26" priority="38">
      <formula>$I$27</formula>
    </cfRule>
  </conditionalFormatting>
  <conditionalFormatting sqref="B98:F98">
    <cfRule type="expression" dxfId="25" priority="37">
      <formula>$I$27</formula>
    </cfRule>
  </conditionalFormatting>
  <conditionalFormatting sqref="B98:F98">
    <cfRule type="expression" dxfId="24" priority="36">
      <formula>$D$62="Okänd"</formula>
    </cfRule>
  </conditionalFormatting>
  <conditionalFormatting sqref="B102 E102:F102">
    <cfRule type="expression" dxfId="23" priority="35">
      <formula>$I$27</formula>
    </cfRule>
  </conditionalFormatting>
  <conditionalFormatting sqref="B102:F102">
    <cfRule type="expression" dxfId="22" priority="34">
      <formula>$D$62="Okänd"</formula>
    </cfRule>
  </conditionalFormatting>
  <conditionalFormatting sqref="C102">
    <cfRule type="expression" dxfId="21" priority="33">
      <formula>$I$27</formula>
    </cfRule>
  </conditionalFormatting>
  <conditionalFormatting sqref="D102">
    <cfRule type="expression" dxfId="20" priority="32">
      <formula>$I$27</formula>
    </cfRule>
  </conditionalFormatting>
  <conditionalFormatting sqref="D102">
    <cfRule type="expression" dxfId="19" priority="31">
      <formula>$D$62="Okänd"</formula>
    </cfRule>
  </conditionalFormatting>
  <conditionalFormatting sqref="I23:J23">
    <cfRule type="expression" dxfId="18" priority="22">
      <formula>$D$23="Eget värmevärde"</formula>
    </cfRule>
    <cfRule type="expression" dxfId="17" priority="27">
      <formula>$D$23="Eget värmevärde"</formula>
    </cfRule>
  </conditionalFormatting>
  <conditionalFormatting sqref="E125">
    <cfRule type="expression" dxfId="16" priority="24">
      <formula>$D$122="Eget avstånd"</formula>
    </cfRule>
    <cfRule type="expression" dxfId="15" priority="3">
      <formula>$D$109="Vägtransport"</formula>
    </cfRule>
  </conditionalFormatting>
  <conditionalFormatting sqref="D194">
    <cfRule type="expression" dxfId="14" priority="21">
      <formula>$D$114="Eget värde"</formula>
    </cfRule>
  </conditionalFormatting>
  <conditionalFormatting sqref="D163:D164">
    <cfRule type="expression" dxfId="13" priority="20">
      <formula>$D$114="Eget värde"</formula>
    </cfRule>
  </conditionalFormatting>
  <conditionalFormatting sqref="C169:D169">
    <cfRule type="expression" dxfId="12" priority="14">
      <formula>$D$122="Eget avstånd"</formula>
    </cfRule>
    <cfRule type="expression" dxfId="11" priority="19">
      <formula>D166="Eget avstånd"</formula>
    </cfRule>
    <cfRule type="expression" dxfId="10" priority="5">
      <formula>$D$153="Sjötransport"</formula>
    </cfRule>
  </conditionalFormatting>
  <conditionalFormatting sqref="B155:Q164">
    <cfRule type="expression" dxfId="9" priority="12">
      <formula>$D$153="Sjötransport"</formula>
    </cfRule>
  </conditionalFormatting>
  <conditionalFormatting sqref="B165:Q170">
    <cfRule type="expression" dxfId="8" priority="11">
      <formula>$D$153="Vägtransport"</formula>
    </cfRule>
  </conditionalFormatting>
  <conditionalFormatting sqref="N147">
    <cfRule type="expression" dxfId="7" priority="7">
      <formula>$D$143="Ej känt om omlastning sker"</formula>
    </cfRule>
  </conditionalFormatting>
  <conditionalFormatting sqref="C145:D145">
    <cfRule type="expression" dxfId="6" priority="8">
      <formula>$D$142 ="Eget avstånd"</formula>
    </cfRule>
  </conditionalFormatting>
  <conditionalFormatting sqref="E169">
    <cfRule type="expression" dxfId="5" priority="2">
      <formula>$D$153="Vägtransport"</formula>
    </cfRule>
    <cfRule type="expression" dxfId="4" priority="1">
      <formula>$D$153="Sjötransport"</formula>
    </cfRule>
  </conditionalFormatting>
  <dataValidations count="3">
    <dataValidation type="whole" errorStyle="information" allowBlank="1" showInputMessage="1" showErrorMessage="1" errorTitle="Fel indata" error="Ange siffror utan decimaler." promptTitle="Ange transportavstånd." prompt="Anges i kilometer." sqref="D114 D189 D158">
      <formula1>0</formula1>
      <formula2>1000000</formula2>
    </dataValidation>
    <dataValidation allowBlank="1" showInputMessage="1" showErrorMessage="1" promptTitle="Ange transportavstånd i km." sqref="D119:F120 D194:F194 D163:F164"/>
    <dataValidation allowBlank="1" showInputMessage="1" showErrorMessage="1" promptTitle="Välj transport avstånd, km" prompt="km" sqref="F136 F180 F203"/>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3</xdr:col>
                    <xdr:colOff>47625</xdr:colOff>
                    <xdr:row>25</xdr:row>
                    <xdr:rowOff>9525</xdr:rowOff>
                  </from>
                  <to>
                    <xdr:col>3</xdr:col>
                    <xdr:colOff>561975</xdr:colOff>
                    <xdr:row>25</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9">
        <x14:dataValidation type="list" allowBlank="1" showInputMessage="1" showErrorMessage="1" promptTitle="Välj ursprungsland." prompt="Ange varifrån biooljan importeras/råvaran till biooljan odlas. Om ursprunglandet inte finns i listan väljs&quot; Annat land&quot;.">
          <x14:formula1>
            <xm:f>Tabelldata!$O$7:$O$13</xm:f>
          </x14:formula1>
          <xm:sqref>D24</xm:sqref>
        </x14:dataValidation>
        <x14:dataValidation type="list" allowBlank="1" showInputMessage="1" showErrorMessage="1">
          <x14:formula1>
            <xm:f>Tabelldata!$M$7:$M$10</xm:f>
          </x14:formula1>
          <xm:sqref>D188 D113 D157</xm:sqref>
        </x14:dataValidation>
        <x14:dataValidation type="list" allowBlank="1" showInputMessage="1" showErrorMessage="1" promptTitle="Välj fartygsbränsle.">
          <x14:formula1>
            <xm:f>Tabelldata!$F$19:$F$22</xm:f>
          </x14:formula1>
          <xm:sqref>D123 D167 D143</xm:sqref>
        </x14:dataValidation>
        <x14:dataValidation type="list" allowBlank="1" showInputMessage="1" showErrorMessage="1" promptTitle="Välj storlek på cistern." prompt="Ange den storlek på cisternen som är närmast följane storlekar:_x000a_Liten: 2 000 m3_x000a_Medel: 9 000 m3_x000a_Stor: 30 000 m3_x000a_Om okänt ange &quot;okänd cisterntyp&quot;.">
          <x14:formula1>
            <xm:f>Tabelldata!$D$31:$D$34</xm:f>
          </x14:formula1>
          <xm:sqref>D134 D178 D201</xm:sqref>
        </x14:dataValidation>
        <x14:dataValidation type="list" allowBlank="1" showInputMessage="1" showErrorMessage="1">
          <x14:formula1>
            <xm:f>Tabelldata!$E$31:$E$43</xm:f>
          </x14:formula1>
          <xm:sqref>D132 D176 D199</xm:sqref>
        </x14:dataValidation>
        <x14:dataValidation type="list" allowBlank="1" showInputMessage="1" showErrorMessage="1">
          <x14:formula1>
            <xm:f>Tabelldata!$F$31:$F$35</xm:f>
          </x14:formula1>
          <xm:sqref>D136 D180 D203</xm:sqref>
        </x14:dataValidation>
        <x14:dataValidation type="list" allowBlank="1" showInputMessage="1" showErrorMessage="1" promptTitle="Välj biooljetyp och värmevärde." prompt="Välj biooloja med förutbestämt värmevärde eller välj  &quot;Eget värmevärde&quot;. Ett eget värmevärde kan endast anges om &quot;Eget värmevärde&quot; väljs i listan.">
          <x14:formula1>
            <xm:f>Tabelldata!$P$15:$P$20</xm:f>
          </x14:formula1>
          <xm:sqref>D23</xm:sqref>
        </x14:dataValidation>
        <x14:dataValidation type="list" allowBlank="1" showInputMessage="1" showErrorMessage="1" promptTitle="Välj fordonstyp" prompt="Välj representativt fordon eller Okänt._x000a_Liten tankbil avser fordon med maximal lastkapacitet på 15 ton._x000a_Stor tankbil avser fordon med maximal lastkapacitet på 33 ton.">
          <x14:formula1>
            <xm:f>Tabelldata!$K$7:$K$9</xm:f>
          </x14:formula1>
          <xm:sqref>D112 D187 D156</xm:sqref>
        </x14:dataValidation>
        <x14:dataValidation type="list" allowBlank="1" showInputMessage="1" showErrorMessage="1" promptTitle="Ange biobränsle och ändamål." prompt="Ange vilken fossil referens som biooljan ska jämföras med. Om du inte har information om biobränslets ändamål välj &quot;okänt ändamål&quot;.">
          <x14:formula1>
            <xm:f>Tabelldata!$K$20:$K$24</xm:f>
          </x14:formula1>
          <xm:sqref>D25:G25</xm:sqref>
        </x14:dataValidation>
        <x14:dataValidation type="list" allowBlank="1" showInputMessage="1" showErrorMessage="1" promptTitle="Välj transportslag." prompt="För detta transportsteg finns möjlighet att välja sjö- eller vägtransport beroende på vilket alternativ som är aktuellt.">
          <x14:formula1>
            <xm:f>Tabelldata!$H$31:$H$32</xm:f>
          </x14:formula1>
          <xm:sqref>D109 D153</xm:sqref>
        </x14:dataValidation>
        <x14:dataValidation type="list" allowBlank="1" showInputMessage="1" showErrorMessage="1">
          <x14:formula1>
            <xm:f>Tabelldata!$H$57:$H$58</xm:f>
          </x14:formula1>
          <xm:sqref>D122 D166</xm:sqref>
        </x14:dataValidation>
        <x14:dataValidation type="list" allowBlank="1" showInputMessage="1" showErrorMessage="1">
          <x14:formula1>
            <xm:f>'Beräkning överskottsel'!$A$2:$A$10</xm:f>
          </x14:formula1>
          <xm:sqref>D89 D74 D105</xm:sqref>
        </x14:dataValidation>
        <x14:dataValidation type="list" allowBlank="1" showInputMessage="1" showErrorMessage="1">
          <x14:formula1>
            <xm:f>Tabelldata!$G$46:$G$49</xm:f>
          </x14:formula1>
          <xm:sqref>D36</xm:sqref>
        </x14:dataValidation>
        <x14:dataValidation type="list" allowBlank="1" showInputMessage="1" showErrorMessage="1">
          <x14:formula1>
            <xm:f>Tabelldata!$H$46:$H$47</xm:f>
          </x14:formula1>
          <xm:sqref>D62 D94</xm:sqref>
        </x14:dataValidation>
        <x14:dataValidation type="list" allowBlank="1" showInputMessage="1" showErrorMessage="1">
          <x14:formula1>
            <xm:f>Tabelldata!$N$46:$N$47</xm:f>
          </x14:formula1>
          <xm:sqref>D37</xm:sqref>
        </x14:dataValidation>
        <x14:dataValidation type="list" allowBlank="1" showInputMessage="1" showErrorMessage="1" promptTitle="Ange om LUC förekommer" prompt="LUC = Land Use Change. Välj Ja om eget värde (förutsatt att ändrad markanvändning är känd och kan beräknas enl. metod i föreskriften), skriv i så fall in det i rutan nedanför. Om du inte känner till om markanvändning sker, välj &quot;Okänt om LUC förekommer&quot;.">
          <x14:formula1>
            <xm:f>Tabelldata!$J$46:$J$48</xm:f>
          </x14:formula1>
          <xm:sqref>D53:E53</xm:sqref>
        </x14:dataValidation>
        <x14:dataValidation type="list" allowBlank="1" showInputMessage="1" showErrorMessage="1">
          <x14:formula1>
            <xm:f>Tabelldata!$Q$46:$Q$51</xm:f>
          </x14:formula1>
          <xm:sqref>D70 D101</xm:sqref>
        </x14:dataValidation>
        <x14:dataValidation type="list" allowBlank="1" showInputMessage="1" showErrorMessage="1" promptTitle="Omlastning eller direktimport." prompt="Ange om biobränslet omlastas innan transport till Sverige eller om biobränslet transporteras direkt utan omlastning.">
          <x14:formula1>
            <xm:f>Tabelldata!$H$19:$H$21</xm:f>
          </x14:formula1>
          <xm:sqref>D144:E144</xm:sqref>
        </x14:dataValidation>
        <x14:dataValidation type="list" allowBlank="1" showInputMessage="1" showErrorMessage="1" promptTitle="Välj transportavstånd/rutt." prompt="Vilka val som finns i menyn beror på vilka val som gjorts tidigare i verktyget (cell D24).">
          <x14:formula1>
            <xm:f>Tabelldata!$D$19:$D$25</xm:f>
          </x14:formula1>
          <xm:sqref>D142</xm:sqref>
        </x14:dataValidation>
      </x14:dataValidations>
    </ex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Växthusgasberäkning!E12:E12</xm:f>
              <xm:sqref>N12</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B3:G20"/>
  <sheetViews>
    <sheetView workbookViewId="0">
      <selection activeCell="B6" sqref="B6"/>
    </sheetView>
  </sheetViews>
  <sheetFormatPr defaultRowHeight="15" x14ac:dyDescent="0.25"/>
  <cols>
    <col min="1" max="1" width="9.140625" style="171"/>
    <col min="2" max="2" width="15.5703125" style="171" bestFit="1" customWidth="1"/>
    <col min="3" max="3" width="27.42578125" style="171" customWidth="1"/>
    <col min="4" max="4" width="13" style="171" customWidth="1"/>
    <col min="5" max="5" width="14.85546875" style="171" customWidth="1"/>
    <col min="6" max="6" width="13.7109375" style="171" customWidth="1"/>
    <col min="7" max="7" width="20" style="171" customWidth="1"/>
    <col min="8" max="16384" width="9.140625" style="171"/>
  </cols>
  <sheetData>
    <row r="3" spans="2:7" ht="20.25" thickBot="1" x14ac:dyDescent="0.35">
      <c r="B3" s="188" t="s">
        <v>264</v>
      </c>
    </row>
    <row r="4" spans="2:7" ht="15.75" thickTop="1" x14ac:dyDescent="0.25"/>
    <row r="5" spans="2:7" ht="54" customHeight="1" x14ac:dyDescent="0.35">
      <c r="B5" s="189" t="s">
        <v>402</v>
      </c>
      <c r="C5" s="189" t="s">
        <v>401</v>
      </c>
      <c r="D5" s="263" t="s">
        <v>651</v>
      </c>
      <c r="E5" s="189" t="s">
        <v>667</v>
      </c>
      <c r="F5" s="262" t="s">
        <v>652</v>
      </c>
      <c r="G5" s="262" t="s">
        <v>657</v>
      </c>
    </row>
    <row r="6" spans="2:7" x14ac:dyDescent="0.25">
      <c r="B6" s="268">
        <f ca="1">Växthusgasberäkning!N20</f>
        <v>42235.632667245372</v>
      </c>
      <c r="C6" s="264" t="str">
        <f>IF(Växthusgasberäkning!D23="Eget värmevärde",Växthusgasberäkning!I23,Växthusgasberäkning!D23)</f>
        <v>Tallbeckolja (38 000 MJ/ton)</v>
      </c>
      <c r="D6" s="266">
        <f>IF(Växthusgasberäkning!D23="Eget värmevärde",Växthusgasberäkning!G23,VLOOKUP(Växthusgasberäkning!D23,Indata!1:1048576,4,FALSE))</f>
        <v>38000</v>
      </c>
      <c r="E6" s="264" t="str">
        <f>Växthusgasberäkning!G24</f>
        <v>-</v>
      </c>
      <c r="F6" s="163">
        <f>Växthusgasberäkning!E19</f>
        <v>3.1701558527647338</v>
      </c>
      <c r="G6" s="269">
        <f>Växthusgasberäkning!$O$11</f>
        <v>0.95882914476928915</v>
      </c>
    </row>
    <row r="7" spans="2:7" x14ac:dyDescent="0.25">
      <c r="B7" s="265"/>
      <c r="C7" s="265"/>
      <c r="D7" s="267"/>
      <c r="E7" s="265"/>
      <c r="F7" s="265"/>
      <c r="G7" s="265"/>
    </row>
    <row r="8" spans="2:7" x14ac:dyDescent="0.25">
      <c r="B8" s="265"/>
      <c r="C8" s="265"/>
      <c r="D8" s="267"/>
      <c r="E8" s="265"/>
      <c r="F8" s="265"/>
      <c r="G8" s="265"/>
    </row>
    <row r="9" spans="2:7" x14ac:dyDescent="0.25">
      <c r="B9" s="265"/>
      <c r="C9" s="265"/>
      <c r="D9" s="267"/>
      <c r="E9" s="265"/>
      <c r="F9" s="265"/>
      <c r="G9" s="265"/>
    </row>
    <row r="10" spans="2:7" x14ac:dyDescent="0.25">
      <c r="B10" s="265"/>
      <c r="C10" s="265"/>
      <c r="D10" s="267"/>
      <c r="E10" s="265"/>
      <c r="F10" s="265"/>
      <c r="G10" s="265"/>
    </row>
    <row r="11" spans="2:7" x14ac:dyDescent="0.25">
      <c r="B11" s="265"/>
      <c r="C11" s="265"/>
      <c r="D11" s="267"/>
      <c r="E11" s="265"/>
      <c r="F11" s="265"/>
      <c r="G11" s="265"/>
    </row>
    <row r="12" spans="2:7" x14ac:dyDescent="0.25">
      <c r="B12" s="265"/>
      <c r="C12" s="265"/>
      <c r="D12" s="267"/>
      <c r="E12" s="265"/>
      <c r="F12" s="265"/>
      <c r="G12" s="265"/>
    </row>
    <row r="13" spans="2:7" x14ac:dyDescent="0.25">
      <c r="B13" s="265"/>
      <c r="C13" s="265"/>
      <c r="D13" s="267"/>
      <c r="E13" s="265"/>
      <c r="F13" s="265"/>
      <c r="G13" s="265"/>
    </row>
    <row r="14" spans="2:7" x14ac:dyDescent="0.25">
      <c r="B14" s="265"/>
      <c r="C14" s="265"/>
      <c r="D14" s="267"/>
      <c r="E14" s="265"/>
      <c r="F14" s="265"/>
      <c r="G14" s="265"/>
    </row>
    <row r="15" spans="2:7" x14ac:dyDescent="0.25">
      <c r="B15" s="265"/>
      <c r="C15" s="265"/>
      <c r="D15" s="267"/>
      <c r="E15" s="265"/>
      <c r="F15" s="265"/>
      <c r="G15" s="265"/>
    </row>
    <row r="19" spans="2:2" ht="18" thickBot="1" x14ac:dyDescent="0.35">
      <c r="B19" s="172" t="s">
        <v>529</v>
      </c>
    </row>
    <row r="20" spans="2:2" ht="15.75" thickTop="1" x14ac:dyDescent="0.25"/>
  </sheetData>
  <sheetProtection password="EA8D"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K138"/>
  <sheetViews>
    <sheetView zoomScale="80" zoomScaleNormal="80" workbookViewId="0">
      <pane xSplit="1" ySplit="4" topLeftCell="B5" activePane="bottomRight" state="frozen"/>
      <selection pane="topRight" activeCell="B1" sqref="B1"/>
      <selection pane="bottomLeft" activeCell="A6" sqref="A6"/>
      <selection pane="bottomRight" activeCell="F27" sqref="F27"/>
    </sheetView>
  </sheetViews>
  <sheetFormatPr defaultRowHeight="15" x14ac:dyDescent="0.25"/>
  <cols>
    <col min="1" max="1" width="23.28515625" customWidth="1"/>
    <col min="2" max="2" width="42.42578125" customWidth="1"/>
    <col min="20" max="20" width="12" bestFit="1" customWidth="1"/>
    <col min="21" max="21" width="11" bestFit="1" customWidth="1"/>
  </cols>
  <sheetData>
    <row r="1" spans="1:37" ht="26.25" x14ac:dyDescent="0.4">
      <c r="A1" s="3" t="s">
        <v>17</v>
      </c>
      <c r="B1" s="3"/>
    </row>
    <row r="2" spans="1:37" x14ac:dyDescent="0.2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row>
    <row r="3" spans="1:37" s="8" customFormat="1" ht="98.25" customHeight="1" x14ac:dyDescent="0.25">
      <c r="A3" s="9" t="s">
        <v>275</v>
      </c>
      <c r="B3" s="9" t="s">
        <v>276</v>
      </c>
      <c r="C3" s="9" t="s">
        <v>20</v>
      </c>
      <c r="D3" s="9" t="s">
        <v>25</v>
      </c>
      <c r="E3" s="9" t="s">
        <v>28</v>
      </c>
      <c r="F3" s="9" t="s">
        <v>29</v>
      </c>
      <c r="G3" s="9" t="s">
        <v>34</v>
      </c>
      <c r="H3" s="9" t="s">
        <v>30</v>
      </c>
      <c r="I3" s="9" t="s">
        <v>273</v>
      </c>
      <c r="J3" s="9" t="s">
        <v>274</v>
      </c>
      <c r="K3" s="9" t="s">
        <v>35</v>
      </c>
      <c r="L3" s="9" t="s">
        <v>36</v>
      </c>
      <c r="M3" s="9" t="s">
        <v>32</v>
      </c>
      <c r="N3" s="9" t="s">
        <v>33</v>
      </c>
      <c r="O3" s="9" t="s">
        <v>48</v>
      </c>
      <c r="P3" s="9" t="s">
        <v>181</v>
      </c>
      <c r="Q3" s="9" t="s">
        <v>49</v>
      </c>
      <c r="R3" s="9" t="s">
        <v>50</v>
      </c>
      <c r="S3" s="9" t="s">
        <v>240</v>
      </c>
      <c r="T3" s="9" t="s">
        <v>239</v>
      </c>
      <c r="U3" s="9" t="s">
        <v>252</v>
      </c>
      <c r="V3" s="9" t="s">
        <v>270</v>
      </c>
      <c r="W3" s="9" t="s">
        <v>344</v>
      </c>
      <c r="X3" s="9" t="s">
        <v>345</v>
      </c>
      <c r="Y3" s="9" t="s">
        <v>346</v>
      </c>
      <c r="Z3" s="9" t="s">
        <v>349</v>
      </c>
      <c r="AA3" s="9" t="s">
        <v>27</v>
      </c>
      <c r="AB3" s="9" t="s">
        <v>366</v>
      </c>
      <c r="AC3" s="9" t="s">
        <v>20</v>
      </c>
      <c r="AD3" s="9"/>
      <c r="AE3" s="10"/>
      <c r="AF3" s="10"/>
      <c r="AG3" s="10"/>
      <c r="AH3" s="10"/>
      <c r="AI3" s="10"/>
      <c r="AJ3" s="10"/>
      <c r="AK3" s="10"/>
    </row>
    <row r="5" spans="1:37" x14ac:dyDescent="0.25">
      <c r="A5" s="4" t="s">
        <v>18</v>
      </c>
      <c r="B5" s="4" t="s">
        <v>18</v>
      </c>
    </row>
    <row r="6" spans="1:37" x14ac:dyDescent="0.25">
      <c r="A6" t="s">
        <v>277</v>
      </c>
      <c r="B6" t="s">
        <v>0</v>
      </c>
      <c r="C6">
        <v>81.8</v>
      </c>
      <c r="E6">
        <v>35.799999999999997</v>
      </c>
      <c r="F6">
        <v>840</v>
      </c>
      <c r="AA6" t="s">
        <v>21</v>
      </c>
    </row>
    <row r="7" spans="1:37" x14ac:dyDescent="0.25">
      <c r="A7" t="s">
        <v>406</v>
      </c>
      <c r="B7" t="s">
        <v>24</v>
      </c>
      <c r="D7">
        <v>36000</v>
      </c>
      <c r="F7" s="92">
        <v>870</v>
      </c>
      <c r="AA7" t="s">
        <v>26</v>
      </c>
    </row>
    <row r="8" spans="1:37" x14ac:dyDescent="0.25">
      <c r="A8" t="s">
        <v>407</v>
      </c>
      <c r="B8" t="s">
        <v>23</v>
      </c>
      <c r="D8">
        <v>36000</v>
      </c>
      <c r="F8">
        <v>870</v>
      </c>
      <c r="AA8" t="s">
        <v>26</v>
      </c>
    </row>
    <row r="9" spans="1:37" x14ac:dyDescent="0.25">
      <c r="A9" t="s">
        <v>408</v>
      </c>
      <c r="B9" t="s">
        <v>22</v>
      </c>
      <c r="D9">
        <v>38000</v>
      </c>
      <c r="F9">
        <v>970</v>
      </c>
      <c r="AA9" t="s">
        <v>26</v>
      </c>
    </row>
    <row r="10" spans="1:37" x14ac:dyDescent="0.25">
      <c r="A10" t="s">
        <v>146</v>
      </c>
      <c r="B10" t="s">
        <v>146</v>
      </c>
      <c r="E10">
        <v>36.762999999999998</v>
      </c>
      <c r="AA10" t="s">
        <v>147</v>
      </c>
    </row>
    <row r="11" spans="1:37" x14ac:dyDescent="0.25">
      <c r="A11" t="s">
        <v>313</v>
      </c>
      <c r="AA11" t="s">
        <v>364</v>
      </c>
      <c r="AB11">
        <v>5.29</v>
      </c>
    </row>
    <row r="12" spans="1:37" x14ac:dyDescent="0.25">
      <c r="A12" t="s">
        <v>365</v>
      </c>
      <c r="AA12" t="s">
        <v>364</v>
      </c>
      <c r="AB12">
        <v>9.19</v>
      </c>
    </row>
    <row r="13" spans="1:37" x14ac:dyDescent="0.25">
      <c r="B13" t="s">
        <v>37</v>
      </c>
      <c r="E13">
        <v>35.299999999999997</v>
      </c>
      <c r="F13">
        <v>815</v>
      </c>
      <c r="AA13" t="s">
        <v>55</v>
      </c>
    </row>
    <row r="14" spans="1:37" x14ac:dyDescent="0.25">
      <c r="B14" t="s">
        <v>38</v>
      </c>
      <c r="E14">
        <v>35.200000000000003</v>
      </c>
      <c r="F14">
        <v>818</v>
      </c>
      <c r="Z14">
        <v>76</v>
      </c>
      <c r="AA14" t="s">
        <v>21</v>
      </c>
    </row>
    <row r="15" spans="1:37" x14ac:dyDescent="0.25">
      <c r="A15" t="s">
        <v>391</v>
      </c>
      <c r="B15" t="s">
        <v>271</v>
      </c>
      <c r="V15">
        <f>2615*1+(0.0206*23)+(0.036763*296)</f>
        <v>2626.3556480000002</v>
      </c>
      <c r="AA15" t="s">
        <v>272</v>
      </c>
    </row>
    <row r="16" spans="1:37" x14ac:dyDescent="0.25">
      <c r="A16" t="s">
        <v>330</v>
      </c>
      <c r="B16" t="s">
        <v>139</v>
      </c>
      <c r="C16" s="95">
        <f>Övrigt!Q46</f>
        <v>77.455756001842872</v>
      </c>
      <c r="AA16" t="s">
        <v>21</v>
      </c>
    </row>
    <row r="17" spans="1:28" x14ac:dyDescent="0.25">
      <c r="A17" t="s">
        <v>388</v>
      </c>
      <c r="B17" t="s">
        <v>140</v>
      </c>
      <c r="C17" s="95">
        <f>Övrigt!Q48</f>
        <v>77.281606001842874</v>
      </c>
      <c r="V17">
        <f>2458</f>
        <v>2458</v>
      </c>
      <c r="AA17" t="s">
        <v>21</v>
      </c>
    </row>
    <row r="18" spans="1:28" x14ac:dyDescent="0.25">
      <c r="A18" t="s">
        <v>404</v>
      </c>
      <c r="B18" t="s">
        <v>39</v>
      </c>
      <c r="C18" s="95">
        <v>24</v>
      </c>
      <c r="AA18" t="s">
        <v>21</v>
      </c>
    </row>
    <row r="19" spans="1:28" x14ac:dyDescent="0.25">
      <c r="A19" t="s">
        <v>418</v>
      </c>
      <c r="B19" t="s">
        <v>419</v>
      </c>
      <c r="C19" s="95"/>
    </row>
    <row r="20" spans="1:28" x14ac:dyDescent="0.25">
      <c r="B20" t="s">
        <v>141</v>
      </c>
      <c r="C20" s="95">
        <f>Övrigt!Q50</f>
        <v>77.333216001842857</v>
      </c>
      <c r="AA20" t="s">
        <v>21</v>
      </c>
    </row>
    <row r="21" spans="1:28" x14ac:dyDescent="0.25">
      <c r="B21" t="s">
        <v>39</v>
      </c>
      <c r="C21" s="95"/>
      <c r="E21">
        <v>32.9</v>
      </c>
      <c r="F21">
        <v>884</v>
      </c>
      <c r="AA21" t="s">
        <v>21</v>
      </c>
      <c r="AB21" t="s">
        <v>51</v>
      </c>
    </row>
    <row r="22" spans="1:28" x14ac:dyDescent="0.25">
      <c r="B22" t="s">
        <v>40</v>
      </c>
      <c r="C22" s="95"/>
      <c r="E22">
        <v>22.7</v>
      </c>
      <c r="F22">
        <v>783</v>
      </c>
      <c r="AA22" t="s">
        <v>21</v>
      </c>
    </row>
    <row r="23" spans="1:28" x14ac:dyDescent="0.25">
      <c r="A23" s="109" t="s">
        <v>298</v>
      </c>
      <c r="B23" t="s">
        <v>53</v>
      </c>
      <c r="C23" s="95">
        <f>Övrigt!Q8</f>
        <v>86.498730830053105</v>
      </c>
      <c r="D23">
        <v>40960</v>
      </c>
      <c r="F23">
        <v>965</v>
      </c>
      <c r="AA23" t="s">
        <v>109</v>
      </c>
    </row>
    <row r="24" spans="1:28" x14ac:dyDescent="0.25">
      <c r="A24" s="109" t="s">
        <v>299</v>
      </c>
      <c r="B24" t="s">
        <v>301</v>
      </c>
      <c r="C24" s="95">
        <f>Övrigt!R8</f>
        <v>82.061612300358547</v>
      </c>
      <c r="D24">
        <v>42650</v>
      </c>
      <c r="AA24" t="s">
        <v>109</v>
      </c>
    </row>
    <row r="25" spans="1:28" x14ac:dyDescent="0.25">
      <c r="A25" s="109" t="s">
        <v>300</v>
      </c>
      <c r="B25" t="s">
        <v>54</v>
      </c>
      <c r="C25" s="95">
        <f>Övrigt!S8</f>
        <v>71.515311125465558</v>
      </c>
      <c r="AA25" t="s">
        <v>109</v>
      </c>
    </row>
    <row r="26" spans="1:28" x14ac:dyDescent="0.25">
      <c r="A26" s="109" t="s">
        <v>303</v>
      </c>
      <c r="B26" t="s">
        <v>302</v>
      </c>
      <c r="C26" s="95">
        <v>86.5</v>
      </c>
      <c r="D26">
        <v>42190</v>
      </c>
    </row>
    <row r="27" spans="1:28" x14ac:dyDescent="0.25">
      <c r="A27" s="109" t="s">
        <v>379</v>
      </c>
      <c r="C27">
        <f>86.5*1.1</f>
        <v>95.15</v>
      </c>
    </row>
    <row r="28" spans="1:28" x14ac:dyDescent="0.25">
      <c r="B28" t="s">
        <v>41</v>
      </c>
      <c r="C28">
        <v>28</v>
      </c>
      <c r="AA28" t="s">
        <v>43</v>
      </c>
    </row>
    <row r="29" spans="1:28" x14ac:dyDescent="0.25">
      <c r="B29" t="s">
        <v>42</v>
      </c>
      <c r="C29">
        <v>34</v>
      </c>
      <c r="AA29" t="s">
        <v>43</v>
      </c>
    </row>
    <row r="31" spans="1:28" x14ac:dyDescent="0.25">
      <c r="A31" s="4" t="s">
        <v>31</v>
      </c>
      <c r="B31" s="4" t="s">
        <v>31</v>
      </c>
    </row>
    <row r="32" spans="1:28" x14ac:dyDescent="0.25">
      <c r="A32" t="s">
        <v>3</v>
      </c>
      <c r="B32" s="108">
        <v>1</v>
      </c>
    </row>
    <row r="33" spans="1:34" x14ac:dyDescent="0.25">
      <c r="A33" t="s">
        <v>4</v>
      </c>
      <c r="B33" s="108">
        <v>2</v>
      </c>
    </row>
    <row r="34" spans="1:34" x14ac:dyDescent="0.25">
      <c r="A34" t="s">
        <v>5</v>
      </c>
      <c r="B34" s="108">
        <v>296</v>
      </c>
    </row>
    <row r="36" spans="1:34" x14ac:dyDescent="0.25">
      <c r="A36" s="4" t="s">
        <v>19</v>
      </c>
      <c r="B36" s="4" t="s">
        <v>19</v>
      </c>
    </row>
    <row r="37" spans="1:34" x14ac:dyDescent="0.25">
      <c r="A37" s="7" t="s">
        <v>192</v>
      </c>
      <c r="B37" s="7" t="s">
        <v>58</v>
      </c>
      <c r="G37">
        <v>15</v>
      </c>
      <c r="H37">
        <v>0.35</v>
      </c>
      <c r="I37">
        <v>0.20100000000000001</v>
      </c>
      <c r="J37">
        <v>0.29399999999999998</v>
      </c>
      <c r="M37">
        <v>2615</v>
      </c>
      <c r="N37">
        <v>2.6700000000000002E-2</v>
      </c>
      <c r="AA37" t="s">
        <v>56</v>
      </c>
    </row>
    <row r="38" spans="1:34" x14ac:dyDescent="0.25">
      <c r="A38" s="7" t="s">
        <v>193</v>
      </c>
      <c r="B38" t="s">
        <v>59</v>
      </c>
      <c r="G38">
        <v>33</v>
      </c>
      <c r="H38">
        <v>0.5</v>
      </c>
      <c r="I38">
        <v>0.246</v>
      </c>
      <c r="J38">
        <v>0.44500000000000001</v>
      </c>
      <c r="M38">
        <v>2615</v>
      </c>
      <c r="N38">
        <v>2.06E-2</v>
      </c>
      <c r="AA38" t="s">
        <v>57</v>
      </c>
    </row>
    <row r="39" spans="1:34" x14ac:dyDescent="0.25">
      <c r="A39" s="72" t="s">
        <v>378</v>
      </c>
      <c r="B39" s="58" t="s">
        <v>184</v>
      </c>
      <c r="C39" s="58"/>
      <c r="D39" s="58"/>
      <c r="E39" s="58"/>
      <c r="F39" s="58"/>
      <c r="G39" s="58">
        <f>AVERAGE(G37:G38)</f>
        <v>24</v>
      </c>
      <c r="H39" s="117">
        <f>AVERAGE(H37:H38)</f>
        <v>0.42499999999999999</v>
      </c>
      <c r="I39" s="117">
        <f>AVERAGE(I37:I38)*1.4</f>
        <v>0.31290000000000001</v>
      </c>
      <c r="J39" s="117">
        <f>AVERAGE(J37:J38)*1.4</f>
        <v>0.51729999999999998</v>
      </c>
      <c r="K39" s="58"/>
      <c r="L39" s="58"/>
      <c r="M39" s="58">
        <f>AVERAGE(M37:M38)</f>
        <v>2615</v>
      </c>
      <c r="N39" s="58">
        <f>AVERAGE(N37:N38)</f>
        <v>2.3650000000000001E-2</v>
      </c>
      <c r="O39" s="58"/>
      <c r="P39" s="58"/>
      <c r="Q39" s="58"/>
      <c r="R39" s="58"/>
      <c r="S39" s="58"/>
      <c r="T39" s="58"/>
      <c r="U39" s="58"/>
      <c r="V39" s="58"/>
      <c r="W39" s="58"/>
      <c r="X39" s="58"/>
      <c r="Y39" s="58"/>
      <c r="Z39" s="58"/>
      <c r="AA39" s="58"/>
      <c r="AB39" s="58"/>
      <c r="AC39" s="58"/>
      <c r="AD39" s="58"/>
      <c r="AE39" s="58"/>
      <c r="AF39" s="58"/>
      <c r="AG39" s="58"/>
      <c r="AH39" s="58"/>
    </row>
    <row r="40" spans="1:34" s="2" customFormat="1" x14ac:dyDescent="0.25">
      <c r="A40" s="74"/>
    </row>
    <row r="41" spans="1:34" x14ac:dyDescent="0.25">
      <c r="A41" s="105" t="s">
        <v>254</v>
      </c>
      <c r="B41" s="105" t="s">
        <v>254</v>
      </c>
    </row>
    <row r="42" spans="1:34" x14ac:dyDescent="0.25">
      <c r="A42" s="74" t="s">
        <v>258</v>
      </c>
      <c r="B42" t="s">
        <v>10</v>
      </c>
      <c r="G42">
        <v>5900</v>
      </c>
      <c r="H42">
        <v>0.5</v>
      </c>
      <c r="K42">
        <v>2.4E-2</v>
      </c>
      <c r="L42">
        <v>3178</v>
      </c>
      <c r="AA42" t="s">
        <v>55</v>
      </c>
      <c r="AB42" t="s">
        <v>52</v>
      </c>
    </row>
    <row r="43" spans="1:34" x14ac:dyDescent="0.25">
      <c r="A43" s="74" t="s">
        <v>259</v>
      </c>
      <c r="B43" t="s">
        <v>11</v>
      </c>
      <c r="G43">
        <v>110000</v>
      </c>
      <c r="H43">
        <v>0.55000000000000004</v>
      </c>
      <c r="K43">
        <v>0.14499999999999999</v>
      </c>
      <c r="L43">
        <v>3179</v>
      </c>
      <c r="AA43" t="s">
        <v>55</v>
      </c>
    </row>
    <row r="44" spans="1:34" x14ac:dyDescent="0.25">
      <c r="A44" s="74" t="s">
        <v>260</v>
      </c>
      <c r="B44" t="s">
        <v>12</v>
      </c>
      <c r="G44">
        <v>1046</v>
      </c>
      <c r="H44">
        <v>0.5</v>
      </c>
      <c r="K44">
        <v>2E-3</v>
      </c>
      <c r="L44">
        <v>3177</v>
      </c>
      <c r="AA44" t="s">
        <v>55</v>
      </c>
    </row>
    <row r="45" spans="1:34" x14ac:dyDescent="0.25">
      <c r="B45" t="s">
        <v>180</v>
      </c>
      <c r="P45">
        <v>1.8520000000000001</v>
      </c>
    </row>
    <row r="47" spans="1:34" x14ac:dyDescent="0.25">
      <c r="A47" s="4" t="s">
        <v>255</v>
      </c>
      <c r="B47" s="4" t="s">
        <v>255</v>
      </c>
      <c r="AA47" t="s">
        <v>253</v>
      </c>
    </row>
    <row r="48" spans="1:34" x14ac:dyDescent="0.25">
      <c r="A48" t="s">
        <v>247</v>
      </c>
      <c r="B48" s="2"/>
      <c r="G48">
        <v>110000</v>
      </c>
      <c r="H48">
        <v>0.55000000000000004</v>
      </c>
      <c r="K48">
        <v>0.14499999999999999</v>
      </c>
      <c r="L48">
        <v>3179</v>
      </c>
      <c r="U48" s="6">
        <f>4555*1.852</f>
        <v>8435.86</v>
      </c>
    </row>
    <row r="49" spans="1:27" x14ac:dyDescent="0.25">
      <c r="A49" t="s">
        <v>248</v>
      </c>
      <c r="B49" s="2"/>
      <c r="G49">
        <v>110000</v>
      </c>
      <c r="H49">
        <v>0.55000000000000004</v>
      </c>
      <c r="K49">
        <v>0.14499999999999999</v>
      </c>
      <c r="L49">
        <v>3179</v>
      </c>
      <c r="U49" s="6">
        <f>3275*1.852</f>
        <v>6065.3</v>
      </c>
    </row>
    <row r="50" spans="1:27" x14ac:dyDescent="0.25">
      <c r="A50" t="s">
        <v>249</v>
      </c>
      <c r="B50" s="2"/>
      <c r="G50">
        <v>110000</v>
      </c>
      <c r="H50">
        <v>0.55000000000000004</v>
      </c>
      <c r="K50">
        <v>0.14499999999999999</v>
      </c>
      <c r="L50">
        <v>3179</v>
      </c>
      <c r="U50" s="6">
        <f>7982*1.852</f>
        <v>14782.664000000001</v>
      </c>
    </row>
    <row r="51" spans="1:27" x14ac:dyDescent="0.25">
      <c r="A51" t="s">
        <v>250</v>
      </c>
      <c r="B51" s="2"/>
      <c r="G51">
        <v>110000</v>
      </c>
      <c r="H51">
        <v>0.55000000000000004</v>
      </c>
      <c r="K51">
        <v>0.14499999999999999</v>
      </c>
      <c r="L51">
        <v>3179</v>
      </c>
      <c r="U51" s="6">
        <f>5423*1.852</f>
        <v>10043.396000000001</v>
      </c>
    </row>
    <row r="52" spans="1:27" x14ac:dyDescent="0.25">
      <c r="A52" t="s">
        <v>251</v>
      </c>
      <c r="B52" s="2"/>
      <c r="G52">
        <v>110000</v>
      </c>
      <c r="H52">
        <v>0.55000000000000004</v>
      </c>
      <c r="K52">
        <v>0.14499999999999999</v>
      </c>
      <c r="L52">
        <v>3179</v>
      </c>
      <c r="U52" s="6">
        <f>6142*1.852</f>
        <v>11374.984</v>
      </c>
    </row>
    <row r="53" spans="1:27" x14ac:dyDescent="0.25">
      <c r="A53" t="s">
        <v>290</v>
      </c>
      <c r="G53">
        <v>110000</v>
      </c>
      <c r="H53">
        <v>0.55000000000000004</v>
      </c>
      <c r="K53">
        <v>0.14499999999999999</v>
      </c>
      <c r="L53">
        <v>3179</v>
      </c>
      <c r="U53" s="6">
        <f>3927*1.852</f>
        <v>7272.8040000000001</v>
      </c>
    </row>
    <row r="54" spans="1:27" x14ac:dyDescent="0.25">
      <c r="A54" t="s">
        <v>291</v>
      </c>
      <c r="G54">
        <v>110000</v>
      </c>
      <c r="H54">
        <v>0.55000000000000004</v>
      </c>
      <c r="K54">
        <v>0.14499999999999999</v>
      </c>
      <c r="L54">
        <v>3179</v>
      </c>
      <c r="U54" s="6">
        <f>363*1.852</f>
        <v>672.27600000000007</v>
      </c>
    </row>
    <row r="55" spans="1:27" x14ac:dyDescent="0.25">
      <c r="A55" t="s">
        <v>292</v>
      </c>
      <c r="G55">
        <v>110000</v>
      </c>
      <c r="H55">
        <v>0.55000000000000004</v>
      </c>
      <c r="K55">
        <v>0.14499999999999999</v>
      </c>
      <c r="L55">
        <v>3179</v>
      </c>
      <c r="U55" s="6">
        <f>5553*1.852</f>
        <v>10284.156000000001</v>
      </c>
    </row>
    <row r="56" spans="1:27" x14ac:dyDescent="0.25">
      <c r="A56" t="s">
        <v>383</v>
      </c>
      <c r="G56">
        <v>110000</v>
      </c>
      <c r="H56">
        <v>0.55000000000000004</v>
      </c>
      <c r="K56">
        <v>0.14499999999999999</v>
      </c>
      <c r="L56">
        <v>3179</v>
      </c>
      <c r="U56" s="6"/>
    </row>
    <row r="58" spans="1:27" x14ac:dyDescent="0.25">
      <c r="A58" t="s">
        <v>256</v>
      </c>
      <c r="B58" s="7" t="s">
        <v>256</v>
      </c>
      <c r="G58">
        <v>5900</v>
      </c>
      <c r="H58">
        <v>0.5</v>
      </c>
      <c r="K58">
        <v>2.4E-2</v>
      </c>
      <c r="L58">
        <v>3178</v>
      </c>
      <c r="U58" s="5">
        <v>1431.6</v>
      </c>
      <c r="AA58" t="s">
        <v>257</v>
      </c>
    </row>
    <row r="65" spans="1:20" x14ac:dyDescent="0.25">
      <c r="A65" s="4" t="s">
        <v>241</v>
      </c>
      <c r="B65" s="4" t="s">
        <v>416</v>
      </c>
    </row>
    <row r="66" spans="1:20" x14ac:dyDescent="0.25">
      <c r="A66" s="4"/>
      <c r="B66" t="s">
        <v>183</v>
      </c>
      <c r="C66" s="95">
        <f>'Beräkning lagring'!N39</f>
        <v>4.9807169129616032E-2</v>
      </c>
      <c r="S66" s="159">
        <f>'Beräkning lagring'!$C$23</f>
        <v>9047.7868423386044</v>
      </c>
      <c r="T66" s="159">
        <f>'Beräkning lagring'!$C$27</f>
        <v>166750711.50430048</v>
      </c>
    </row>
    <row r="67" spans="1:20" x14ac:dyDescent="0.25">
      <c r="B67" t="s">
        <v>411</v>
      </c>
      <c r="C67" s="95">
        <f>'Beräkning lagring'!O39</f>
        <v>1.4573518827997827E-2</v>
      </c>
      <c r="S67" s="159">
        <f>'Beräkning lagring'!$C$23</f>
        <v>9047.7868423386044</v>
      </c>
      <c r="T67" s="159">
        <f>'Beräkning lagring'!$C$27</f>
        <v>166750711.50430048</v>
      </c>
    </row>
    <row r="68" spans="1:20" x14ac:dyDescent="0.25">
      <c r="B68" t="s">
        <v>231</v>
      </c>
      <c r="C68" s="95">
        <f>'Beräkning lagring'!N39</f>
        <v>4.9807169129616032E-2</v>
      </c>
      <c r="S68" s="159">
        <f>'Beräkning lagring'!$C$23</f>
        <v>9047.7868423386044</v>
      </c>
      <c r="T68" s="159">
        <f>'Beräkning lagring'!$C$27</f>
        <v>166750711.50430048</v>
      </c>
    </row>
    <row r="69" spans="1:20" x14ac:dyDescent="0.25">
      <c r="B69" t="s">
        <v>232</v>
      </c>
      <c r="C69" s="94">
        <f>'Beräkning lagring'!L39</f>
        <v>3.1788043447602268E-3</v>
      </c>
      <c r="S69" s="159">
        <f>'Beräkning lagring'!$C$23</f>
        <v>9047.7868423386044</v>
      </c>
      <c r="T69" s="159">
        <f>'Beräkning lagring'!$C$27</f>
        <v>166750711.50430048</v>
      </c>
    </row>
    <row r="70" spans="1:20" x14ac:dyDescent="0.25">
      <c r="B70" t="s">
        <v>233</v>
      </c>
      <c r="C70" s="94">
        <f>'Beräkning lagring'!M39</f>
        <v>4.7299824592128619E-3</v>
      </c>
      <c r="S70" s="159">
        <f>'Beräkning lagring'!$C$23</f>
        <v>9047.7868423386044</v>
      </c>
      <c r="T70" s="159">
        <f>'Beräkning lagring'!$C$27</f>
        <v>166750711.50430048</v>
      </c>
    </row>
    <row r="71" spans="1:20" x14ac:dyDescent="0.25">
      <c r="A71" s="4" t="s">
        <v>242</v>
      </c>
      <c r="B71" s="4" t="s">
        <v>242</v>
      </c>
    </row>
    <row r="72" spans="1:20" x14ac:dyDescent="0.25">
      <c r="B72" t="s">
        <v>183</v>
      </c>
      <c r="C72" s="95">
        <f>'Beräkning lagring'!N37</f>
        <v>8.4049597906227042E-2</v>
      </c>
      <c r="S72" s="159">
        <f>'Beräkning lagring'!$C$21</f>
        <v>2010.6192982974676</v>
      </c>
    </row>
    <row r="73" spans="1:20" x14ac:dyDescent="0.25">
      <c r="B73" t="s">
        <v>411</v>
      </c>
      <c r="C73" s="95">
        <f>'Beräkning lagring'!O37</f>
        <v>2.4592813022246331E-2</v>
      </c>
      <c r="S73" s="159">
        <f>'Beräkning lagring'!$C$21</f>
        <v>2010.6192982974676</v>
      </c>
    </row>
    <row r="74" spans="1:20" x14ac:dyDescent="0.25">
      <c r="B74" t="s">
        <v>231</v>
      </c>
      <c r="C74" s="95">
        <f>'Beräkning lagring'!N37</f>
        <v>8.4049597906227042E-2</v>
      </c>
      <c r="S74" s="159">
        <f>'Beräkning lagring'!$C$21</f>
        <v>2010.6192982974676</v>
      </c>
    </row>
    <row r="75" spans="1:20" x14ac:dyDescent="0.25">
      <c r="B75" t="s">
        <v>232</v>
      </c>
      <c r="C75" s="95">
        <f>'Beräkning lagring'!L37</f>
        <v>5.3642323317828833E-3</v>
      </c>
      <c r="S75" s="159">
        <f>'Beräkning lagring'!$C$21</f>
        <v>2010.6192982974676</v>
      </c>
    </row>
    <row r="76" spans="1:20" x14ac:dyDescent="0.25">
      <c r="B76" t="s">
        <v>233</v>
      </c>
      <c r="C76" s="95">
        <f>'Beräkning lagring'!M37</f>
        <v>7.9818453999217047E-3</v>
      </c>
      <c r="S76" s="159">
        <f>'Beräkning lagring'!$C$21</f>
        <v>2010.6192982974676</v>
      </c>
    </row>
    <row r="77" spans="1:20" x14ac:dyDescent="0.25">
      <c r="A77" s="4" t="s">
        <v>238</v>
      </c>
      <c r="B77" s="4" t="s">
        <v>238</v>
      </c>
    </row>
    <row r="78" spans="1:20" x14ac:dyDescent="0.25">
      <c r="B78" t="s">
        <v>183</v>
      </c>
      <c r="C78" s="95">
        <f>'Beräkning lagring'!N38</f>
        <v>3.3757093278016827E-2</v>
      </c>
      <c r="S78" s="159">
        <f>'Beräkning lagring'!$C$22</f>
        <v>30054.046120566753</v>
      </c>
    </row>
    <row r="79" spans="1:20" x14ac:dyDescent="0.25">
      <c r="B79" t="s">
        <v>411</v>
      </c>
      <c r="C79" s="95">
        <f>'Beräkning lagring'!O38</f>
        <v>9.8772856009022025E-3</v>
      </c>
      <c r="S79" s="159">
        <f>'Beräkning lagring'!$C$22</f>
        <v>30054.046120566753</v>
      </c>
    </row>
    <row r="80" spans="1:20" x14ac:dyDescent="0.25">
      <c r="B80" t="s">
        <v>231</v>
      </c>
      <c r="C80" s="95">
        <f>'Beräkning lagring'!N38</f>
        <v>3.3757093278016827E-2</v>
      </c>
      <c r="S80" s="159">
        <f>'Beräkning lagring'!$C$22</f>
        <v>30054.046120566753</v>
      </c>
    </row>
    <row r="81" spans="1:19" x14ac:dyDescent="0.25">
      <c r="B81" t="s">
        <v>232</v>
      </c>
      <c r="C81" s="94">
        <f>'Beräkning lagring'!L38</f>
        <v>2.154452795728754E-3</v>
      </c>
      <c r="S81" s="159">
        <f>'Beräkning lagring'!$C$22</f>
        <v>30054.046120566753</v>
      </c>
    </row>
    <row r="82" spans="1:19" x14ac:dyDescent="0.25">
      <c r="B82" t="s">
        <v>233</v>
      </c>
      <c r="C82" s="94">
        <f>'Beräkning lagring'!M38</f>
        <v>3.205772620072273E-3</v>
      </c>
      <c r="S82" s="159">
        <f>'Beräkning lagring'!$C$22</f>
        <v>30054.046120566753</v>
      </c>
    </row>
    <row r="83" spans="1:19" x14ac:dyDescent="0.25">
      <c r="B83" s="4" t="s">
        <v>243</v>
      </c>
      <c r="C83" s="94"/>
    </row>
    <row r="84" spans="1:19" x14ac:dyDescent="0.25">
      <c r="B84" t="s">
        <v>183</v>
      </c>
      <c r="C84" s="94">
        <f>'Beräkning lagring'!N40</f>
        <v>3.2482936388880022E-2</v>
      </c>
    </row>
    <row r="85" spans="1:19" x14ac:dyDescent="0.25">
      <c r="B85" t="s">
        <v>231</v>
      </c>
      <c r="C85" s="94">
        <f>'Beräkning lagring'!N40</f>
        <v>3.2482936388880022E-2</v>
      </c>
    </row>
    <row r="86" spans="1:19" x14ac:dyDescent="0.25">
      <c r="B86" t="s">
        <v>232</v>
      </c>
      <c r="C86" s="94">
        <f>'Beräkning lagring'!L40</f>
        <v>2.0731332683218873E-3</v>
      </c>
    </row>
    <row r="87" spans="1:19" x14ac:dyDescent="0.25">
      <c r="B87" t="s">
        <v>233</v>
      </c>
      <c r="C87" s="94">
        <f>'Beräkning lagring'!M40</f>
        <v>3.0847711690518672E-3</v>
      </c>
    </row>
    <row r="88" spans="1:19" x14ac:dyDescent="0.25">
      <c r="C88" s="94"/>
    </row>
    <row r="89" spans="1:19" x14ac:dyDescent="0.25">
      <c r="C89" s="94"/>
    </row>
    <row r="90" spans="1:19" x14ac:dyDescent="0.25">
      <c r="C90" s="94"/>
    </row>
    <row r="91" spans="1:19" x14ac:dyDescent="0.25">
      <c r="C91" s="94"/>
    </row>
    <row r="94" spans="1:19" x14ac:dyDescent="0.25">
      <c r="A94" s="4" t="s">
        <v>44</v>
      </c>
      <c r="B94" s="4" t="s">
        <v>44</v>
      </c>
    </row>
    <row r="95" spans="1:19" x14ac:dyDescent="0.25">
      <c r="B95" t="s">
        <v>45</v>
      </c>
      <c r="O95">
        <v>14</v>
      </c>
      <c r="Q95">
        <v>1.4</v>
      </c>
      <c r="R95">
        <v>2000</v>
      </c>
    </row>
    <row r="96" spans="1:19" x14ac:dyDescent="0.25">
      <c r="B96" t="s">
        <v>46</v>
      </c>
      <c r="O96">
        <v>19</v>
      </c>
      <c r="Q96">
        <v>2.1</v>
      </c>
      <c r="R96">
        <v>3000</v>
      </c>
    </row>
    <row r="97" spans="1:29" x14ac:dyDescent="0.25">
      <c r="B97" t="s">
        <v>47</v>
      </c>
      <c r="O97">
        <v>13</v>
      </c>
      <c r="Q97">
        <v>3.5</v>
      </c>
      <c r="R97">
        <v>4850</v>
      </c>
    </row>
    <row r="100" spans="1:29" x14ac:dyDescent="0.25">
      <c r="A100" s="4" t="s">
        <v>376</v>
      </c>
    </row>
    <row r="101" spans="1:29" x14ac:dyDescent="0.25">
      <c r="A101" t="s">
        <v>16</v>
      </c>
    </row>
    <row r="102" spans="1:29" x14ac:dyDescent="0.25">
      <c r="A102" t="s">
        <v>146</v>
      </c>
    </row>
    <row r="103" spans="1:29" x14ac:dyDescent="0.25">
      <c r="A103" t="s">
        <v>425</v>
      </c>
      <c r="C103">
        <v>14</v>
      </c>
      <c r="AA103" t="s">
        <v>426</v>
      </c>
      <c r="AC103">
        <v>49</v>
      </c>
    </row>
    <row r="104" spans="1:29" x14ac:dyDescent="0.25">
      <c r="A104" t="s">
        <v>421</v>
      </c>
      <c r="C104">
        <v>20.100000000000001</v>
      </c>
      <c r="AA104" t="s">
        <v>375</v>
      </c>
      <c r="AC104">
        <v>22</v>
      </c>
    </row>
    <row r="105" spans="1:29" x14ac:dyDescent="0.25">
      <c r="A105" t="s">
        <v>422</v>
      </c>
      <c r="C105">
        <v>29</v>
      </c>
      <c r="AA105" t="s">
        <v>426</v>
      </c>
      <c r="AC105">
        <v>22</v>
      </c>
    </row>
    <row r="106" spans="1:29" x14ac:dyDescent="0.25">
      <c r="A106" t="s">
        <v>420</v>
      </c>
      <c r="C106">
        <v>19</v>
      </c>
      <c r="AA106" t="s">
        <v>426</v>
      </c>
      <c r="AC106">
        <v>26</v>
      </c>
    </row>
    <row r="109" spans="1:29" x14ac:dyDescent="0.25">
      <c r="A109" s="4" t="s">
        <v>334</v>
      </c>
    </row>
    <row r="110" spans="1:29" x14ac:dyDescent="0.25">
      <c r="A110" t="s">
        <v>331</v>
      </c>
      <c r="W110">
        <v>2827.0048999999999</v>
      </c>
      <c r="X110">
        <v>8.6788000000000007</v>
      </c>
      <c r="Y110">
        <v>9.6417999999999999</v>
      </c>
      <c r="AA110" t="s">
        <v>347</v>
      </c>
    </row>
    <row r="111" spans="1:29" x14ac:dyDescent="0.25">
      <c r="A111" t="s">
        <v>335</v>
      </c>
      <c r="W111">
        <v>964.88649999999996</v>
      </c>
      <c r="X111">
        <v>1.331</v>
      </c>
      <c r="Y111">
        <v>5.1499999999999997E-2</v>
      </c>
      <c r="AA111" t="s">
        <v>347</v>
      </c>
    </row>
    <row r="112" spans="1:29" x14ac:dyDescent="0.25">
      <c r="A112" t="s">
        <v>336</v>
      </c>
      <c r="W112">
        <v>536.31089999999995</v>
      </c>
      <c r="X112">
        <v>1.5709</v>
      </c>
      <c r="Y112">
        <v>1.23E-2</v>
      </c>
      <c r="AA112" t="s">
        <v>347</v>
      </c>
    </row>
    <row r="113" spans="1:27" x14ac:dyDescent="0.25">
      <c r="A113" t="s">
        <v>332</v>
      </c>
      <c r="W113">
        <v>119.116</v>
      </c>
      <c r="X113">
        <v>0.21590000000000001</v>
      </c>
      <c r="Y113">
        <v>1.83E-2</v>
      </c>
      <c r="AA113" t="s">
        <v>347</v>
      </c>
    </row>
    <row r="114" spans="1:27" x14ac:dyDescent="0.25">
      <c r="A114" t="s">
        <v>333</v>
      </c>
      <c r="W114">
        <v>9886.5020000000004</v>
      </c>
      <c r="X114">
        <v>25.527100000000001</v>
      </c>
      <c r="Y114">
        <v>1.6814</v>
      </c>
      <c r="AA114" t="s">
        <v>347</v>
      </c>
    </row>
    <row r="115" spans="1:27" x14ac:dyDescent="0.25">
      <c r="A115" t="s">
        <v>337</v>
      </c>
      <c r="W115">
        <v>0</v>
      </c>
      <c r="X115">
        <v>0</v>
      </c>
      <c r="Y115">
        <v>0</v>
      </c>
      <c r="AA115" t="s">
        <v>347</v>
      </c>
    </row>
    <row r="116" spans="1:27" x14ac:dyDescent="0.25">
      <c r="A116" t="s">
        <v>338</v>
      </c>
      <c r="W116">
        <v>412.08109999999999</v>
      </c>
      <c r="X116">
        <v>0.91269999999999996</v>
      </c>
      <c r="Y116">
        <v>1.0027999999999999</v>
      </c>
      <c r="AA116" t="s">
        <v>347</v>
      </c>
    </row>
    <row r="117" spans="1:27" x14ac:dyDescent="0.25">
      <c r="A117" t="s">
        <v>339</v>
      </c>
      <c r="W117">
        <v>0</v>
      </c>
      <c r="X117">
        <v>0</v>
      </c>
      <c r="Y117">
        <v>0</v>
      </c>
      <c r="AA117" t="s">
        <v>347</v>
      </c>
    </row>
    <row r="118" spans="1:27" x14ac:dyDescent="0.25">
      <c r="A118" t="s">
        <v>340</v>
      </c>
      <c r="W118">
        <v>2187.7141000000001</v>
      </c>
      <c r="X118">
        <v>4.6003999999999996</v>
      </c>
      <c r="Y118">
        <v>4.2119999999999997</v>
      </c>
      <c r="AA118" t="s">
        <v>347</v>
      </c>
    </row>
    <row r="119" spans="1:27" x14ac:dyDescent="0.25">
      <c r="A119" t="s">
        <v>341</v>
      </c>
      <c r="W119">
        <v>1.6397999999999999</v>
      </c>
      <c r="X119">
        <v>1E-4</v>
      </c>
      <c r="Y119">
        <v>0</v>
      </c>
      <c r="AA119" t="s">
        <v>347</v>
      </c>
    </row>
    <row r="120" spans="1:27" x14ac:dyDescent="0.25">
      <c r="A120" t="s">
        <v>342</v>
      </c>
      <c r="W120">
        <v>412.08109999999999</v>
      </c>
      <c r="X120">
        <v>0.91269999999999996</v>
      </c>
      <c r="Y120">
        <v>1.0027999999999999</v>
      </c>
      <c r="AA120" t="s">
        <v>347</v>
      </c>
    </row>
    <row r="121" spans="1:27" x14ac:dyDescent="0.25">
      <c r="A121" t="s">
        <v>343</v>
      </c>
      <c r="W121">
        <v>151.0557</v>
      </c>
      <c r="X121">
        <v>0.27710000000000001</v>
      </c>
      <c r="Y121">
        <v>0.40029999999999999</v>
      </c>
      <c r="AA121" t="s">
        <v>347</v>
      </c>
    </row>
    <row r="123" spans="1:27" ht="15.75" x14ac:dyDescent="0.3">
      <c r="A123" s="127" t="s">
        <v>348</v>
      </c>
      <c r="Z123">
        <v>149103.91827692304</v>
      </c>
    </row>
    <row r="129" spans="1:27" x14ac:dyDescent="0.25">
      <c r="A129" s="4" t="s">
        <v>361</v>
      </c>
    </row>
    <row r="130" spans="1:27" x14ac:dyDescent="0.25">
      <c r="A130" t="s">
        <v>356</v>
      </c>
      <c r="Z130">
        <v>83.8</v>
      </c>
    </row>
    <row r="131" spans="1:27" x14ac:dyDescent="0.25">
      <c r="A131" t="s">
        <v>357</v>
      </c>
      <c r="Z131">
        <v>91</v>
      </c>
    </row>
    <row r="132" spans="1:27" x14ac:dyDescent="0.25">
      <c r="A132" t="s">
        <v>363</v>
      </c>
      <c r="Z132">
        <v>77</v>
      </c>
    </row>
    <row r="133" spans="1:27" x14ac:dyDescent="0.25">
      <c r="A133" t="s">
        <v>358</v>
      </c>
      <c r="Z133">
        <v>85</v>
      </c>
    </row>
    <row r="135" spans="1:27" x14ac:dyDescent="0.25">
      <c r="A135" s="4" t="s">
        <v>368</v>
      </c>
    </row>
    <row r="136" spans="1:27" x14ac:dyDescent="0.25">
      <c r="A136" t="s">
        <v>380</v>
      </c>
      <c r="C136">
        <v>21.2</v>
      </c>
      <c r="AA136" t="s">
        <v>369</v>
      </c>
    </row>
    <row r="137" spans="1:27" x14ac:dyDescent="0.25">
      <c r="A137" t="s">
        <v>381</v>
      </c>
      <c r="C137">
        <v>33.19</v>
      </c>
      <c r="AA137" t="s">
        <v>369</v>
      </c>
    </row>
    <row r="138" spans="1:27" x14ac:dyDescent="0.25">
      <c r="A138" t="s">
        <v>382</v>
      </c>
      <c r="C138">
        <v>35</v>
      </c>
    </row>
  </sheetData>
  <sheetProtection password="EA8D" sheet="1" objects="1" scenarios="1" selectLockedCells="1" selectUnlockedCells="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Q117"/>
  <sheetViews>
    <sheetView zoomScale="80" zoomScaleNormal="80" workbookViewId="0">
      <selection activeCell="B27" sqref="B27"/>
    </sheetView>
  </sheetViews>
  <sheetFormatPr defaultRowHeight="15" x14ac:dyDescent="0.25"/>
  <cols>
    <col min="1" max="1" width="9.140625" style="71"/>
    <col min="2" max="2" width="17.28515625" customWidth="1"/>
    <col min="3" max="3" width="34.28515625" customWidth="1"/>
    <col min="4" max="4" width="17.85546875" customWidth="1"/>
    <col min="7" max="7" width="26.7109375" customWidth="1"/>
    <col min="8" max="8" width="20.28515625" customWidth="1"/>
    <col min="9" max="9" width="10.7109375" customWidth="1"/>
    <col min="10" max="10" width="22.85546875" customWidth="1"/>
    <col min="12" max="12" width="16.7109375" customWidth="1"/>
    <col min="13" max="13" width="35.7109375" customWidth="1"/>
    <col min="14" max="14" width="16.85546875" bestFit="1" customWidth="1"/>
    <col min="15" max="15" width="21.7109375" customWidth="1"/>
  </cols>
  <sheetData>
    <row r="1" spans="1:43" s="73" customFormat="1" x14ac:dyDescent="0.25">
      <c r="A1" s="71"/>
      <c r="B1"/>
      <c r="C1" s="76"/>
      <c r="D1" s="76"/>
      <c r="E1" s="76"/>
      <c r="F1" s="76"/>
      <c r="G1" s="76"/>
      <c r="H1" s="76"/>
      <c r="I1" s="76"/>
      <c r="J1" s="76"/>
      <c r="K1" s="76"/>
      <c r="L1" s="76"/>
      <c r="M1" s="76"/>
      <c r="N1" s="76"/>
      <c r="O1" s="76"/>
      <c r="P1" s="76"/>
      <c r="Q1" s="76"/>
      <c r="R1"/>
      <c r="S1"/>
      <c r="T1"/>
      <c r="U1"/>
      <c r="V1"/>
      <c r="W1"/>
      <c r="X1"/>
      <c r="Y1"/>
      <c r="Z1"/>
      <c r="AA1"/>
      <c r="AB1"/>
      <c r="AC1"/>
      <c r="AD1"/>
      <c r="AE1"/>
      <c r="AF1"/>
      <c r="AG1"/>
      <c r="AH1"/>
      <c r="AI1"/>
      <c r="AJ1"/>
      <c r="AK1"/>
      <c r="AL1"/>
      <c r="AM1"/>
      <c r="AN1"/>
      <c r="AO1"/>
      <c r="AP1"/>
      <c r="AQ1"/>
    </row>
    <row r="2" spans="1:43" ht="23.25" thickBot="1" x14ac:dyDescent="0.35">
      <c r="C2" s="107" t="s">
        <v>265</v>
      </c>
      <c r="D2" s="75"/>
      <c r="E2" s="75"/>
      <c r="F2" s="75"/>
      <c r="G2" s="75"/>
      <c r="H2" s="75"/>
      <c r="I2" s="75"/>
      <c r="J2" s="75"/>
      <c r="K2" s="75"/>
      <c r="L2" s="75"/>
      <c r="M2" s="75"/>
      <c r="N2" s="75"/>
      <c r="O2" s="75"/>
      <c r="P2" s="75"/>
      <c r="Q2" s="75"/>
    </row>
    <row r="3" spans="1:43" ht="20.25" thickTop="1" x14ac:dyDescent="0.3">
      <c r="C3" s="324" t="s">
        <v>264</v>
      </c>
      <c r="D3" s="324"/>
      <c r="E3" s="324"/>
      <c r="F3" s="324"/>
      <c r="G3" s="324"/>
      <c r="H3" s="324"/>
      <c r="I3" s="324"/>
      <c r="J3" s="324"/>
      <c r="K3" s="324"/>
      <c r="L3" s="324"/>
      <c r="M3" s="324"/>
      <c r="N3" s="324"/>
      <c r="O3" s="324"/>
      <c r="P3" s="75"/>
      <c r="Q3" s="75"/>
    </row>
    <row r="4" spans="1:43" ht="19.5" x14ac:dyDescent="0.3">
      <c r="C4" s="134"/>
      <c r="D4" s="134"/>
      <c r="E4" s="134"/>
      <c r="F4" s="134"/>
      <c r="G4" s="134"/>
      <c r="H4" s="134"/>
      <c r="I4" s="134"/>
      <c r="J4" s="134"/>
      <c r="K4" s="134"/>
      <c r="L4" s="134"/>
      <c r="M4" s="134"/>
      <c r="N4" s="134"/>
      <c r="O4" s="134"/>
      <c r="P4" s="75"/>
      <c r="Q4" s="75"/>
    </row>
    <row r="5" spans="1:43" x14ac:dyDescent="0.25">
      <c r="C5" s="137"/>
      <c r="D5" s="137"/>
      <c r="E5" s="137"/>
      <c r="F5" s="137"/>
      <c r="G5" s="137"/>
      <c r="H5" s="137"/>
      <c r="I5" s="137"/>
      <c r="J5" s="137"/>
      <c r="K5" s="137"/>
      <c r="L5" s="137"/>
      <c r="M5" s="137"/>
      <c r="N5" s="137"/>
      <c r="O5" s="137"/>
      <c r="P5" s="137"/>
      <c r="Q5" s="75"/>
    </row>
    <row r="6" spans="1:43" x14ac:dyDescent="0.25">
      <c r="C6" s="137"/>
      <c r="D6" s="137"/>
      <c r="E6" s="137"/>
      <c r="F6" s="137"/>
      <c r="G6" s="137"/>
      <c r="H6" s="137"/>
      <c r="I6" s="137"/>
      <c r="J6" s="137"/>
      <c r="K6" s="137"/>
      <c r="L6" s="137"/>
      <c r="M6" s="137"/>
      <c r="N6" s="137"/>
      <c r="O6" s="137"/>
      <c r="P6" s="137"/>
      <c r="Q6" s="75"/>
    </row>
    <row r="7" spans="1:43" x14ac:dyDescent="0.25">
      <c r="C7" s="137"/>
      <c r="D7" s="137"/>
      <c r="E7" s="137"/>
      <c r="F7" s="137"/>
      <c r="G7" s="137"/>
      <c r="H7" s="137"/>
      <c r="I7" s="137"/>
      <c r="J7" s="137"/>
      <c r="K7" s="137"/>
      <c r="L7" s="137"/>
      <c r="M7" s="137"/>
      <c r="N7" s="137"/>
      <c r="O7" s="137"/>
      <c r="P7" s="137"/>
      <c r="Q7" s="75"/>
    </row>
    <row r="8" spans="1:43" x14ac:dyDescent="0.25">
      <c r="C8" s="137"/>
      <c r="D8" s="137"/>
      <c r="E8" s="137"/>
      <c r="F8" s="137"/>
      <c r="G8" s="137"/>
      <c r="H8" s="137"/>
      <c r="I8" s="137"/>
      <c r="J8" s="137"/>
      <c r="K8" s="137"/>
      <c r="L8" s="137"/>
      <c r="M8" s="137"/>
      <c r="N8" s="137"/>
      <c r="O8" s="137"/>
      <c r="P8" s="137"/>
      <c r="Q8" s="75"/>
    </row>
    <row r="9" spans="1:43" ht="23.25" x14ac:dyDescent="0.35">
      <c r="C9" s="137"/>
      <c r="D9" s="137"/>
      <c r="E9" s="137"/>
      <c r="F9" s="137"/>
      <c r="G9" s="137"/>
      <c r="H9" s="137"/>
      <c r="I9" s="137"/>
      <c r="J9" s="138"/>
      <c r="K9" s="137"/>
      <c r="L9" s="137"/>
      <c r="M9" s="137"/>
      <c r="N9" s="137"/>
      <c r="O9" s="139"/>
      <c r="P9" s="137"/>
      <c r="Q9" s="75"/>
    </row>
    <row r="10" spans="1:43" ht="18" x14ac:dyDescent="0.35">
      <c r="C10" s="137"/>
      <c r="D10" s="137"/>
      <c r="E10" s="137"/>
      <c r="F10" s="137"/>
      <c r="G10" s="137"/>
      <c r="H10" s="137"/>
      <c r="I10" s="137"/>
      <c r="J10" s="140" t="s">
        <v>351</v>
      </c>
      <c r="K10" s="136" t="s">
        <v>395</v>
      </c>
      <c r="L10" s="137"/>
      <c r="M10" s="137"/>
      <c r="N10" s="137" t="s">
        <v>359</v>
      </c>
      <c r="O10" s="101">
        <f>VLOOKUP($D$24,'Indata old'!1:1048576,26,FALSE)</f>
        <v>77</v>
      </c>
      <c r="P10" s="137" t="s">
        <v>360</v>
      </c>
      <c r="Q10" s="75"/>
    </row>
    <row r="11" spans="1:43" x14ac:dyDescent="0.25">
      <c r="C11" s="137"/>
      <c r="D11" s="137"/>
      <c r="E11" s="137"/>
      <c r="F11" s="137"/>
      <c r="G11" s="137"/>
      <c r="H11" s="137"/>
      <c r="I11" s="137"/>
      <c r="J11" s="137"/>
      <c r="K11" s="137"/>
      <c r="L11" s="137"/>
      <c r="M11" s="137"/>
      <c r="N11" s="137"/>
      <c r="O11" s="101"/>
      <c r="P11" s="137"/>
      <c r="Q11" s="75"/>
    </row>
    <row r="12" spans="1:43" ht="18" x14ac:dyDescent="0.35">
      <c r="C12" s="137"/>
      <c r="D12" s="137"/>
      <c r="E12" s="137"/>
      <c r="F12" s="137"/>
      <c r="G12" s="137"/>
      <c r="H12" s="137"/>
      <c r="I12" s="137"/>
      <c r="J12" s="140" t="s">
        <v>352</v>
      </c>
      <c r="K12" s="137"/>
      <c r="L12" s="137"/>
      <c r="M12" s="137"/>
      <c r="N12" s="137" t="s">
        <v>362</v>
      </c>
      <c r="O12" s="128" t="e">
        <f>($O$10-$K$17)/$O$10</f>
        <v>#N/A</v>
      </c>
      <c r="P12" s="137"/>
      <c r="Q12" s="75"/>
    </row>
    <row r="13" spans="1:43" ht="18" x14ac:dyDescent="0.35">
      <c r="C13" s="137"/>
      <c r="D13" s="137"/>
      <c r="E13" s="137"/>
      <c r="F13" s="137"/>
      <c r="G13" s="137"/>
      <c r="H13" s="137"/>
      <c r="I13" s="137"/>
      <c r="J13" s="137" t="s">
        <v>144</v>
      </c>
      <c r="K13" s="101">
        <f>N76</f>
        <v>0.84049597906227036</v>
      </c>
      <c r="L13" s="137" t="s">
        <v>398</v>
      </c>
      <c r="M13" s="137"/>
      <c r="N13" s="137"/>
      <c r="O13" s="137"/>
      <c r="P13" s="137"/>
      <c r="Q13" s="75"/>
    </row>
    <row r="14" spans="1:43" ht="18" x14ac:dyDescent="0.35">
      <c r="C14" s="137"/>
      <c r="D14" s="137"/>
      <c r="E14" s="137"/>
      <c r="F14" s="137"/>
      <c r="G14" s="137"/>
      <c r="H14" s="137"/>
      <c r="I14" s="137"/>
      <c r="J14" s="137" t="s">
        <v>9</v>
      </c>
      <c r="K14" s="101" t="e">
        <f>N67</f>
        <v>#N/A</v>
      </c>
      <c r="L14" s="137" t="s">
        <v>398</v>
      </c>
      <c r="M14" s="137"/>
      <c r="N14" s="137"/>
      <c r="O14" s="137"/>
      <c r="P14" s="137"/>
      <c r="Q14" s="75"/>
    </row>
    <row r="15" spans="1:43" ht="18" x14ac:dyDescent="0.35">
      <c r="C15" s="137"/>
      <c r="D15" s="137"/>
      <c r="E15" s="137"/>
      <c r="F15" s="137"/>
      <c r="G15" s="137"/>
      <c r="H15" s="137"/>
      <c r="I15" s="137"/>
      <c r="J15" s="137" t="s">
        <v>350</v>
      </c>
      <c r="K15" s="101" t="e">
        <f>N89</f>
        <v>#N/A</v>
      </c>
      <c r="L15" s="137" t="s">
        <v>398</v>
      </c>
      <c r="M15" s="137"/>
      <c r="N15" s="137"/>
      <c r="O15" s="137"/>
      <c r="P15" s="137"/>
      <c r="Q15" s="75"/>
    </row>
    <row r="16" spans="1:43" x14ac:dyDescent="0.25">
      <c r="C16" s="137"/>
      <c r="D16" s="137"/>
      <c r="E16" s="137"/>
      <c r="F16" s="137"/>
      <c r="G16" s="137"/>
      <c r="H16" s="137"/>
      <c r="I16" s="137"/>
      <c r="J16" s="137"/>
      <c r="K16" s="137"/>
      <c r="L16" s="137"/>
      <c r="M16" s="137"/>
      <c r="N16" s="137"/>
      <c r="O16" s="137"/>
      <c r="P16" s="137"/>
      <c r="Q16" s="75"/>
    </row>
    <row r="17" spans="3:17" ht="18" x14ac:dyDescent="0.35">
      <c r="C17" s="137"/>
      <c r="D17" s="137"/>
      <c r="E17" s="137"/>
      <c r="F17" s="137"/>
      <c r="G17" s="137"/>
      <c r="H17" s="137"/>
      <c r="I17" s="137"/>
      <c r="J17" s="140" t="s">
        <v>353</v>
      </c>
      <c r="K17" s="101" t="e">
        <f>K14+K15+K13</f>
        <v>#N/A</v>
      </c>
      <c r="L17" s="137" t="s">
        <v>398</v>
      </c>
      <c r="M17" s="137"/>
      <c r="N17" s="137"/>
      <c r="O17" s="137"/>
      <c r="P17" s="137"/>
      <c r="Q17" s="75"/>
    </row>
    <row r="18" spans="3:17" x14ac:dyDescent="0.25">
      <c r="C18" s="137"/>
      <c r="D18" s="137"/>
      <c r="E18" s="137"/>
      <c r="F18" s="137"/>
      <c r="G18" s="137"/>
      <c r="H18" s="137"/>
      <c r="I18" s="137"/>
      <c r="J18" s="137"/>
      <c r="K18" s="137"/>
      <c r="L18" s="137"/>
      <c r="M18" s="137"/>
      <c r="N18" s="137"/>
      <c r="O18" s="137"/>
      <c r="P18" s="137"/>
      <c r="Q18" s="75"/>
    </row>
    <row r="19" spans="3:17" x14ac:dyDescent="0.25">
      <c r="C19" s="137"/>
      <c r="D19" s="137"/>
      <c r="E19" s="137"/>
      <c r="F19" s="137"/>
      <c r="G19" s="137"/>
      <c r="H19" s="137"/>
      <c r="I19" s="137"/>
      <c r="J19" s="137"/>
      <c r="K19" s="137"/>
      <c r="L19" s="137"/>
      <c r="M19" s="137"/>
      <c r="N19" s="137"/>
      <c r="O19" s="137"/>
      <c r="P19" s="137"/>
      <c r="Q19" s="75"/>
    </row>
    <row r="20" spans="3:17" x14ac:dyDescent="0.25">
      <c r="C20" s="137"/>
      <c r="D20" s="137"/>
      <c r="E20" s="137"/>
      <c r="F20" s="137"/>
      <c r="G20" s="137"/>
      <c r="H20" s="137"/>
      <c r="I20" s="137"/>
      <c r="J20" s="137"/>
      <c r="K20" s="137"/>
      <c r="L20" s="137"/>
      <c r="M20" s="137"/>
      <c r="N20" s="137"/>
      <c r="O20" s="137"/>
      <c r="P20" s="137"/>
      <c r="Q20" s="75"/>
    </row>
    <row r="21" spans="3:17" x14ac:dyDescent="0.25">
      <c r="C21" s="137"/>
      <c r="D21" s="137"/>
      <c r="E21" s="137"/>
      <c r="F21" s="137"/>
      <c r="G21" s="137"/>
      <c r="H21" s="137"/>
      <c r="I21" s="137"/>
      <c r="J21" s="137"/>
      <c r="K21" s="137"/>
      <c r="L21" s="137"/>
      <c r="M21" s="137" t="s">
        <v>289</v>
      </c>
      <c r="N21" s="141">
        <f ca="1">NOW()</f>
        <v>42235.632667245372</v>
      </c>
      <c r="O21" s="137"/>
      <c r="P21" s="137"/>
      <c r="Q21" s="75"/>
    </row>
    <row r="22" spans="3:17" ht="21" customHeight="1" x14ac:dyDescent="0.25">
      <c r="C22" s="91" t="s">
        <v>196</v>
      </c>
      <c r="D22" s="119" t="s">
        <v>15</v>
      </c>
      <c r="E22" s="75"/>
      <c r="G22" s="75"/>
      <c r="H22" s="75"/>
      <c r="I22" s="75"/>
      <c r="J22" s="75"/>
      <c r="K22" s="75"/>
      <c r="L22" s="75"/>
      <c r="M22" s="75"/>
      <c r="N22" s="75"/>
      <c r="O22" s="75"/>
      <c r="P22" s="75"/>
      <c r="Q22" s="75"/>
    </row>
    <row r="23" spans="3:17" ht="32.25" customHeight="1" x14ac:dyDescent="0.25">
      <c r="C23" s="91" t="s">
        <v>394</v>
      </c>
      <c r="D23" s="135" t="s">
        <v>397</v>
      </c>
      <c r="E23" s="75"/>
      <c r="G23" s="75"/>
      <c r="H23" s="75"/>
      <c r="I23" s="75"/>
      <c r="J23" s="75"/>
      <c r="K23" s="75"/>
      <c r="L23" s="75"/>
      <c r="M23" s="75"/>
      <c r="N23" s="75"/>
      <c r="O23" s="75"/>
      <c r="P23" s="75"/>
      <c r="Q23" s="75"/>
    </row>
    <row r="24" spans="3:17" ht="21" customHeight="1" x14ac:dyDescent="0.25">
      <c r="C24" s="91" t="s">
        <v>354</v>
      </c>
      <c r="D24" s="338" t="s">
        <v>363</v>
      </c>
      <c r="E24" s="339"/>
      <c r="F24" s="340"/>
      <c r="G24" s="75"/>
      <c r="H24" s="75"/>
      <c r="I24" s="75"/>
      <c r="J24" s="75"/>
      <c r="K24" s="75"/>
      <c r="L24" s="75"/>
      <c r="M24" s="75"/>
      <c r="N24" s="75"/>
      <c r="O24" s="75"/>
      <c r="P24" s="75"/>
      <c r="Q24" s="75"/>
    </row>
    <row r="25" spans="3:17" ht="30" x14ac:dyDescent="0.25">
      <c r="C25" s="91" t="s">
        <v>194</v>
      </c>
      <c r="D25" s="75"/>
      <c r="E25" s="75"/>
      <c r="F25" s="75"/>
      <c r="G25" s="75"/>
      <c r="H25" s="75"/>
      <c r="I25" s="75"/>
      <c r="J25" s="75"/>
      <c r="K25" s="75"/>
      <c r="L25" s="75"/>
      <c r="M25" s="75"/>
      <c r="N25" s="75"/>
      <c r="O25" s="75"/>
      <c r="P25" s="75"/>
      <c r="Q25" s="75"/>
    </row>
    <row r="26" spans="3:17" x14ac:dyDescent="0.25">
      <c r="C26" s="77" t="str">
        <f>IF($D$25="NEJ","Utsläpp från utvinning eller odling av råvaror","")</f>
        <v/>
      </c>
      <c r="D26" s="75"/>
      <c r="E26" s="75"/>
      <c r="F26" s="75"/>
      <c r="G26" s="75"/>
      <c r="H26" s="75"/>
      <c r="I26" s="78" t="b">
        <v>1</v>
      </c>
      <c r="J26" s="75"/>
      <c r="K26" s="75"/>
      <c r="L26" s="75"/>
      <c r="M26" s="75"/>
      <c r="N26" s="75"/>
      <c r="O26" s="75"/>
      <c r="P26" s="75"/>
      <c r="Q26" s="75"/>
    </row>
    <row r="27" spans="3:17" x14ac:dyDescent="0.25">
      <c r="C27" s="77"/>
      <c r="D27" s="75"/>
      <c r="E27" s="75"/>
      <c r="F27" s="75"/>
      <c r="G27" s="75"/>
      <c r="H27" s="75"/>
      <c r="I27" s="78"/>
      <c r="J27" s="75"/>
      <c r="K27" s="75"/>
      <c r="L27" s="75"/>
      <c r="M27" s="75"/>
      <c r="N27" s="75"/>
      <c r="O27" s="75"/>
      <c r="P27" s="75"/>
      <c r="Q27" s="75"/>
    </row>
    <row r="28" spans="3:17" ht="18" thickBot="1" x14ac:dyDescent="0.35">
      <c r="C28" s="106" t="s">
        <v>263</v>
      </c>
      <c r="D28" s="75"/>
      <c r="E28" s="75"/>
      <c r="F28" s="75"/>
      <c r="G28" s="75"/>
      <c r="H28" s="75"/>
      <c r="I28" s="78"/>
      <c r="J28" s="75"/>
      <c r="K28" s="75"/>
      <c r="L28" s="75"/>
      <c r="M28" s="75"/>
      <c r="N28" s="75"/>
      <c r="O28" s="75"/>
      <c r="P28" s="75"/>
      <c r="Q28" s="75"/>
    </row>
    <row r="29" spans="3:17" ht="16.5" thickTop="1" thickBot="1" x14ac:dyDescent="0.3">
      <c r="C29" s="77"/>
      <c r="D29" s="75"/>
      <c r="E29" s="75"/>
      <c r="F29" s="78"/>
      <c r="G29" s="75"/>
      <c r="H29" s="75"/>
      <c r="I29" s="75"/>
      <c r="J29" s="75"/>
      <c r="K29" s="75"/>
      <c r="L29" s="75"/>
      <c r="M29" s="75"/>
      <c r="N29" s="75"/>
      <c r="O29" s="75"/>
      <c r="P29" s="75"/>
      <c r="Q29" s="75"/>
    </row>
    <row r="30" spans="3:17" x14ac:dyDescent="0.25">
      <c r="C30" s="79" t="str">
        <f>IF($I$26,"Odlingssteg ingår ej - Skrolla nedåt","Odling")</f>
        <v>Odlingssteg ingår ej - Skrolla nedåt</v>
      </c>
      <c r="D30" s="80"/>
      <c r="E30" s="80"/>
      <c r="F30" s="81"/>
      <c r="G30" s="80"/>
      <c r="H30" s="80"/>
      <c r="I30" s="80"/>
      <c r="J30" s="80"/>
      <c r="K30" s="80"/>
      <c r="L30" s="80"/>
      <c r="M30" s="80"/>
      <c r="N30" s="80"/>
      <c r="O30" s="82"/>
      <c r="P30" s="75"/>
      <c r="Q30" s="75"/>
    </row>
    <row r="31" spans="3:17" x14ac:dyDescent="0.25">
      <c r="C31" s="83"/>
      <c r="D31" s="84"/>
      <c r="E31" s="84"/>
      <c r="F31" s="85"/>
      <c r="G31" s="84"/>
      <c r="H31" s="84"/>
      <c r="I31" s="84"/>
      <c r="J31" s="84"/>
      <c r="K31" s="84"/>
      <c r="L31" s="84"/>
      <c r="M31" s="84"/>
      <c r="N31" s="84"/>
      <c r="O31" s="86"/>
      <c r="P31" s="75"/>
      <c r="Q31" s="75"/>
    </row>
    <row r="32" spans="3:17" ht="18.75" x14ac:dyDescent="0.3">
      <c r="C32" s="102" t="str">
        <f>IF($I$26,""," Typ av gröda:")</f>
        <v/>
      </c>
      <c r="D32" s="84"/>
      <c r="E32" s="84"/>
      <c r="F32" s="85"/>
      <c r="G32" s="84"/>
      <c r="H32" s="84"/>
      <c r="I32" s="84"/>
      <c r="J32" s="84"/>
      <c r="K32" s="84"/>
      <c r="L32" s="84"/>
      <c r="M32" s="84"/>
      <c r="N32" s="84"/>
      <c r="O32" s="86"/>
      <c r="P32" s="75"/>
      <c r="Q32" s="75"/>
    </row>
    <row r="33" spans="3:17" x14ac:dyDescent="0.25">
      <c r="C33" s="83"/>
      <c r="D33" s="84"/>
      <c r="E33" s="84"/>
      <c r="F33" s="85"/>
      <c r="G33" s="84"/>
      <c r="H33" s="84"/>
      <c r="I33" s="84"/>
      <c r="J33" s="84"/>
      <c r="K33" s="84"/>
      <c r="L33" s="84"/>
      <c r="M33" s="84"/>
      <c r="N33" s="84"/>
      <c r="O33" s="86"/>
      <c r="P33" s="75"/>
      <c r="Q33" s="75"/>
    </row>
    <row r="34" spans="3:17" x14ac:dyDescent="0.25">
      <c r="C34" s="83"/>
      <c r="D34" s="84"/>
      <c r="E34" s="84"/>
      <c r="F34" s="85"/>
      <c r="G34" s="84"/>
      <c r="H34" s="84"/>
      <c r="I34" s="84"/>
      <c r="J34" s="84"/>
      <c r="K34" s="84"/>
      <c r="L34" s="84"/>
      <c r="M34" s="84"/>
      <c r="N34" s="84"/>
      <c r="O34" s="86"/>
      <c r="P34" s="75"/>
      <c r="Q34" s="75"/>
    </row>
    <row r="35" spans="3:17" x14ac:dyDescent="0.25">
      <c r="C35" s="83"/>
      <c r="D35" s="84"/>
      <c r="E35" s="84"/>
      <c r="F35" s="85"/>
      <c r="G35" s="84"/>
      <c r="H35" s="84"/>
      <c r="I35" s="84"/>
      <c r="J35" s="84"/>
      <c r="K35" s="84"/>
      <c r="L35" s="84"/>
      <c r="M35" s="84"/>
      <c r="N35" s="84"/>
      <c r="O35" s="86"/>
      <c r="P35" s="75"/>
      <c r="Q35" s="75"/>
    </row>
    <row r="36" spans="3:17" x14ac:dyDescent="0.25">
      <c r="C36" s="83"/>
      <c r="D36" s="84"/>
      <c r="E36" s="84"/>
      <c r="F36" s="85"/>
      <c r="G36" s="84"/>
      <c r="H36" s="84"/>
      <c r="I36" s="84"/>
      <c r="J36" s="84"/>
      <c r="K36" s="84"/>
      <c r="L36" s="84"/>
      <c r="M36" s="84"/>
      <c r="N36" s="84"/>
      <c r="O36" s="86"/>
      <c r="P36" s="75"/>
      <c r="Q36" s="75"/>
    </row>
    <row r="37" spans="3:17" x14ac:dyDescent="0.25">
      <c r="C37" s="83"/>
      <c r="D37" s="84"/>
      <c r="E37" s="84"/>
      <c r="F37" s="85"/>
      <c r="G37" s="84"/>
      <c r="H37" s="84"/>
      <c r="I37" s="84"/>
      <c r="J37" s="84"/>
      <c r="K37" s="84"/>
      <c r="L37" s="84"/>
      <c r="M37" s="84"/>
      <c r="N37" s="84"/>
      <c r="O37" s="86"/>
      <c r="P37" s="75"/>
      <c r="Q37" s="75"/>
    </row>
    <row r="38" spans="3:17" x14ac:dyDescent="0.25">
      <c r="C38" s="83"/>
      <c r="D38" s="84"/>
      <c r="E38" s="84"/>
      <c r="F38" s="85"/>
      <c r="G38" s="84"/>
      <c r="H38" s="84"/>
      <c r="I38" s="84"/>
      <c r="J38" s="84"/>
      <c r="K38" s="84"/>
      <c r="L38" s="84"/>
      <c r="M38" s="84"/>
      <c r="N38" s="84"/>
      <c r="O38" s="86"/>
      <c r="P38" s="75"/>
      <c r="Q38" s="75"/>
    </row>
    <row r="39" spans="3:17" x14ac:dyDescent="0.25">
      <c r="C39" s="83"/>
      <c r="D39" s="84"/>
      <c r="E39" s="84"/>
      <c r="F39" s="85"/>
      <c r="G39" s="84"/>
      <c r="H39" s="84"/>
      <c r="I39" s="84"/>
      <c r="J39" s="84"/>
      <c r="K39" s="84"/>
      <c r="L39" s="84"/>
      <c r="M39" s="84"/>
      <c r="N39" s="84"/>
      <c r="O39" s="86"/>
      <c r="P39" s="75"/>
      <c r="Q39" s="75"/>
    </row>
    <row r="40" spans="3:17" ht="15.75" thickBot="1" x14ac:dyDescent="0.3">
      <c r="C40" s="87"/>
      <c r="D40" s="88"/>
      <c r="E40" s="88"/>
      <c r="F40" s="89"/>
      <c r="G40" s="88"/>
      <c r="H40" s="88"/>
      <c r="I40" s="88"/>
      <c r="J40" s="88"/>
      <c r="K40" s="88"/>
      <c r="L40" s="88"/>
      <c r="M40" s="88"/>
      <c r="N40" s="88"/>
      <c r="O40" s="90"/>
      <c r="P40" s="75"/>
      <c r="Q40" s="75"/>
    </row>
    <row r="41" spans="3:17" ht="15.75" thickBot="1" x14ac:dyDescent="0.3">
      <c r="C41" s="77"/>
      <c r="D41" s="75"/>
      <c r="E41" s="75"/>
      <c r="F41" s="78"/>
      <c r="G41" s="75"/>
      <c r="H41" s="75"/>
      <c r="I41" s="75"/>
      <c r="J41" s="75"/>
      <c r="K41" s="75"/>
      <c r="L41" s="75"/>
      <c r="M41" s="75"/>
      <c r="N41" s="75"/>
      <c r="O41" s="75"/>
      <c r="P41" s="75"/>
      <c r="Q41" s="75"/>
    </row>
    <row r="42" spans="3:17" x14ac:dyDescent="0.25">
      <c r="C42" s="79" t="str">
        <f>IF($I$26,"Process ingår ej- Skrolla nedåt","Process")</f>
        <v>Process ingår ej- Skrolla nedåt</v>
      </c>
      <c r="D42" s="80"/>
      <c r="E42" s="80"/>
      <c r="F42" s="81"/>
      <c r="G42" s="80"/>
      <c r="H42" s="80"/>
      <c r="I42" s="80"/>
      <c r="J42" s="80"/>
      <c r="K42" s="80"/>
      <c r="L42" s="80"/>
      <c r="M42" s="80"/>
      <c r="N42" s="80"/>
      <c r="O42" s="82"/>
      <c r="P42" s="75"/>
      <c r="Q42" s="75"/>
    </row>
    <row r="43" spans="3:17" x14ac:dyDescent="0.25">
      <c r="C43" s="83"/>
      <c r="D43" s="84"/>
      <c r="E43" s="84"/>
      <c r="F43" s="85"/>
      <c r="G43" s="84"/>
      <c r="H43" s="84"/>
      <c r="I43" s="84"/>
      <c r="J43" s="84"/>
      <c r="K43" s="84"/>
      <c r="L43" s="84"/>
      <c r="M43" s="84"/>
      <c r="N43" s="84"/>
      <c r="O43" s="86"/>
      <c r="P43" s="75"/>
      <c r="Q43" s="75"/>
    </row>
    <row r="44" spans="3:17" x14ac:dyDescent="0.25">
      <c r="C44" s="83"/>
      <c r="D44" s="84"/>
      <c r="E44" s="84"/>
      <c r="F44" s="85"/>
      <c r="G44" s="84"/>
      <c r="H44" s="84"/>
      <c r="I44" s="84"/>
      <c r="J44" s="84"/>
      <c r="K44" s="84"/>
      <c r="L44" s="84"/>
      <c r="M44" s="84"/>
      <c r="N44" s="84"/>
      <c r="O44" s="86"/>
      <c r="P44" s="75"/>
      <c r="Q44" s="75"/>
    </row>
    <row r="45" spans="3:17" x14ac:dyDescent="0.25">
      <c r="C45" s="83"/>
      <c r="D45" s="84"/>
      <c r="E45" s="84"/>
      <c r="F45" s="85"/>
      <c r="G45" s="84"/>
      <c r="H45" s="84"/>
      <c r="I45" s="84"/>
      <c r="J45" s="84"/>
      <c r="K45" s="84"/>
      <c r="L45" s="84"/>
      <c r="M45" s="84"/>
      <c r="N45" s="84"/>
      <c r="O45" s="86"/>
      <c r="P45" s="75"/>
      <c r="Q45" s="75"/>
    </row>
    <row r="46" spans="3:17" x14ac:dyDescent="0.25">
      <c r="C46" s="83"/>
      <c r="D46" s="84"/>
      <c r="E46" s="84"/>
      <c r="F46" s="85"/>
      <c r="G46" s="84"/>
      <c r="H46" s="84"/>
      <c r="I46" s="84"/>
      <c r="J46" s="84"/>
      <c r="K46" s="84"/>
      <c r="L46" s="84"/>
      <c r="M46" s="84"/>
      <c r="N46" s="84"/>
      <c r="O46" s="86"/>
      <c r="P46" s="75"/>
      <c r="Q46" s="75"/>
    </row>
    <row r="47" spans="3:17" x14ac:dyDescent="0.25">
      <c r="C47" s="83"/>
      <c r="D47" s="84"/>
      <c r="E47" s="84"/>
      <c r="F47" s="85"/>
      <c r="G47" s="84"/>
      <c r="H47" s="84"/>
      <c r="I47" s="84"/>
      <c r="J47" s="84"/>
      <c r="K47" s="84"/>
      <c r="L47" s="84"/>
      <c r="M47" s="84"/>
      <c r="N47" s="84"/>
      <c r="O47" s="86"/>
      <c r="P47" s="75"/>
      <c r="Q47" s="75"/>
    </row>
    <row r="48" spans="3:17" x14ac:dyDescent="0.25">
      <c r="C48" s="83"/>
      <c r="D48" s="84"/>
      <c r="E48" s="84"/>
      <c r="F48" s="85"/>
      <c r="G48" s="84"/>
      <c r="H48" s="84"/>
      <c r="I48" s="84"/>
      <c r="J48" s="84"/>
      <c r="K48" s="84"/>
      <c r="L48" s="84"/>
      <c r="M48" s="84"/>
      <c r="N48" s="84"/>
      <c r="O48" s="86"/>
      <c r="P48" s="75"/>
      <c r="Q48" s="75"/>
    </row>
    <row r="49" spans="3:19" x14ac:dyDescent="0.25">
      <c r="C49" s="83"/>
      <c r="D49" s="84"/>
      <c r="E49" s="84"/>
      <c r="F49" s="85"/>
      <c r="G49" s="84"/>
      <c r="H49" s="84"/>
      <c r="I49" s="84"/>
      <c r="J49" s="84"/>
      <c r="K49" s="84"/>
      <c r="L49" s="84"/>
      <c r="M49" s="84"/>
      <c r="N49" s="84"/>
      <c r="O49" s="86"/>
      <c r="P49" s="75"/>
      <c r="Q49" s="75"/>
    </row>
    <row r="50" spans="3:19" x14ac:dyDescent="0.25">
      <c r="C50" s="83"/>
      <c r="D50" s="84"/>
      <c r="E50" s="84"/>
      <c r="F50" s="85"/>
      <c r="G50" s="84"/>
      <c r="H50" s="84"/>
      <c r="I50" s="84"/>
      <c r="J50" s="84"/>
      <c r="K50" s="84"/>
      <c r="L50" s="84"/>
      <c r="M50" s="84"/>
      <c r="N50" s="84"/>
      <c r="O50" s="86"/>
      <c r="P50" s="75"/>
      <c r="Q50" s="75"/>
    </row>
    <row r="51" spans="3:19" x14ac:dyDescent="0.25">
      <c r="C51" s="83"/>
      <c r="D51" s="84"/>
      <c r="E51" s="84"/>
      <c r="F51" s="85"/>
      <c r="G51" s="84"/>
      <c r="H51" s="84"/>
      <c r="I51" s="84"/>
      <c r="J51" s="84"/>
      <c r="K51" s="84"/>
      <c r="L51" s="84"/>
      <c r="M51" s="84"/>
      <c r="N51" s="84"/>
      <c r="O51" s="86"/>
      <c r="P51" s="75"/>
      <c r="Q51" s="75"/>
    </row>
    <row r="52" spans="3:19" ht="15.75" thickBot="1" x14ac:dyDescent="0.3">
      <c r="C52" s="87"/>
      <c r="D52" s="88"/>
      <c r="E52" s="88"/>
      <c r="F52" s="89"/>
      <c r="G52" s="88"/>
      <c r="H52" s="88"/>
      <c r="I52" s="88"/>
      <c r="J52" s="88"/>
      <c r="K52" s="88"/>
      <c r="L52" s="88"/>
      <c r="M52" s="88"/>
      <c r="N52" s="88"/>
      <c r="O52" s="90"/>
      <c r="P52" s="75"/>
      <c r="Q52" s="75"/>
    </row>
    <row r="55" spans="3:19" ht="23.25" x14ac:dyDescent="0.35">
      <c r="C55" s="129" t="s">
        <v>143</v>
      </c>
    </row>
    <row r="56" spans="3:19" ht="19.5" x14ac:dyDescent="0.3">
      <c r="C56" s="317" t="s">
        <v>17</v>
      </c>
      <c r="D56" s="317"/>
      <c r="E56" s="317"/>
      <c r="F56" s="317"/>
      <c r="G56" s="336" t="s">
        <v>399</v>
      </c>
      <c r="H56" s="336"/>
      <c r="I56" s="336"/>
      <c r="J56" s="336"/>
      <c r="K56" s="336"/>
      <c r="L56" s="336"/>
      <c r="M56" s="337" t="s">
        <v>198</v>
      </c>
      <c r="N56" s="337"/>
      <c r="O56" s="337"/>
      <c r="P56" s="337"/>
      <c r="Q56" s="337"/>
      <c r="R56" s="337"/>
      <c r="S56" s="337"/>
    </row>
    <row r="57" spans="3:19" x14ac:dyDescent="0.25">
      <c r="C57" s="131"/>
      <c r="D57" s="131"/>
      <c r="E57" s="131"/>
      <c r="F57" s="131"/>
      <c r="G57" s="132"/>
      <c r="H57" s="132"/>
      <c r="I57" s="132"/>
      <c r="J57" s="132"/>
      <c r="K57" s="132"/>
      <c r="L57" s="132"/>
      <c r="M57" s="142"/>
      <c r="N57" s="142"/>
      <c r="O57" s="142"/>
      <c r="P57" s="142"/>
      <c r="Q57" s="142"/>
      <c r="R57" s="142"/>
      <c r="S57" s="142"/>
    </row>
    <row r="58" spans="3:19" x14ac:dyDescent="0.25">
      <c r="C58" s="143"/>
      <c r="D58" s="131"/>
      <c r="E58" s="131"/>
      <c r="F58" s="131"/>
      <c r="G58" s="132"/>
      <c r="H58" s="132"/>
      <c r="I58" s="132"/>
      <c r="J58" s="132"/>
      <c r="K58" s="132"/>
      <c r="L58" s="132"/>
      <c r="M58" s="142"/>
      <c r="N58" s="142"/>
      <c r="O58" s="142"/>
      <c r="P58" s="142"/>
      <c r="Q58" s="142"/>
      <c r="R58" s="142"/>
      <c r="S58" s="142"/>
    </row>
    <row r="59" spans="3:19" ht="18" x14ac:dyDescent="0.35">
      <c r="C59" s="131"/>
      <c r="D59" s="131"/>
      <c r="E59" s="131"/>
      <c r="F59" s="131"/>
      <c r="G59" s="144" t="s">
        <v>280</v>
      </c>
      <c r="H59" s="118" t="str">
        <f>D60</f>
        <v>Stor tankbil</v>
      </c>
      <c r="I59" s="132"/>
      <c r="J59" s="132"/>
      <c r="K59" s="132"/>
      <c r="L59" s="132"/>
      <c r="M59" s="145" t="s">
        <v>286</v>
      </c>
      <c r="N59" s="101">
        <f>VLOOKUP($D$61,'Indata old'!1:1048576,22,FALSE)*(H61/D62)</f>
        <v>1168.72826336</v>
      </c>
      <c r="O59" s="145" t="s">
        <v>283</v>
      </c>
      <c r="P59" s="142"/>
      <c r="Q59" s="142"/>
      <c r="R59" s="142"/>
      <c r="S59" s="142"/>
    </row>
    <row r="60" spans="3:19" ht="18" x14ac:dyDescent="0.35">
      <c r="C60" s="131" t="s">
        <v>1</v>
      </c>
      <c r="D60" s="61" t="s">
        <v>193</v>
      </c>
      <c r="E60" s="131"/>
      <c r="F60" s="131"/>
      <c r="G60" s="144" t="s">
        <v>385</v>
      </c>
      <c r="H60" s="118" t="str">
        <f>$D$61</f>
        <v>Diesel (utan RME)</v>
      </c>
      <c r="I60" s="144" t="s">
        <v>389</v>
      </c>
      <c r="J60" s="132"/>
      <c r="K60" s="62">
        <f>VLOOKUP($D$61,'Indata old'!1:1048576,22,FALSE)</f>
        <v>2626.3556480000002</v>
      </c>
      <c r="L60" s="144" t="s">
        <v>390</v>
      </c>
      <c r="M60" s="142"/>
      <c r="N60" s="142"/>
      <c r="O60" s="142"/>
      <c r="P60" s="142"/>
      <c r="Q60" s="142"/>
      <c r="R60" s="142"/>
      <c r="S60" s="142"/>
    </row>
    <row r="61" spans="3:19" x14ac:dyDescent="0.25">
      <c r="C61" s="146" t="s">
        <v>386</v>
      </c>
      <c r="D61" s="61" t="s">
        <v>391</v>
      </c>
      <c r="E61" s="131"/>
      <c r="F61" s="131"/>
      <c r="G61" s="144" t="s">
        <v>278</v>
      </c>
      <c r="H61" s="136">
        <f>VLOOKUP($D$60,'Indata old'!A5:N62,10,FALSE)*D62</f>
        <v>13.35</v>
      </c>
      <c r="I61" s="144" t="s">
        <v>281</v>
      </c>
      <c r="J61" s="132"/>
      <c r="K61" s="132"/>
      <c r="L61" s="132"/>
      <c r="M61" s="142"/>
      <c r="N61" s="142"/>
      <c r="O61" s="142"/>
      <c r="P61" s="142"/>
      <c r="Q61" s="142"/>
      <c r="R61" s="142"/>
      <c r="S61" s="142"/>
    </row>
    <row r="62" spans="3:19" x14ac:dyDescent="0.25">
      <c r="C62" s="146" t="s">
        <v>279</v>
      </c>
      <c r="D62" s="61">
        <v>30</v>
      </c>
      <c r="E62" s="146" t="s">
        <v>7</v>
      </c>
      <c r="F62" s="131"/>
      <c r="G62" s="132"/>
      <c r="H62" s="136">
        <f>VLOOKUP($D$60,'Indata old'!A5:N62,9,FALSE)*D62</f>
        <v>7.38</v>
      </c>
      <c r="I62" s="144" t="s">
        <v>282</v>
      </c>
      <c r="J62" s="132"/>
      <c r="K62" s="132"/>
      <c r="L62" s="132"/>
      <c r="M62" s="142"/>
      <c r="N62" s="142"/>
      <c r="O62" s="142"/>
      <c r="P62" s="142"/>
      <c r="Q62" s="142"/>
      <c r="R62" s="142"/>
      <c r="S62" s="142"/>
    </row>
    <row r="63" spans="3:19" x14ac:dyDescent="0.25">
      <c r="C63" s="131"/>
      <c r="D63" s="131"/>
      <c r="E63" s="131"/>
      <c r="F63" s="131"/>
      <c r="G63" s="144" t="s">
        <v>2</v>
      </c>
      <c r="H63" s="118">
        <f>D62</f>
        <v>30</v>
      </c>
      <c r="I63" s="144" t="s">
        <v>7</v>
      </c>
      <c r="J63" s="132"/>
      <c r="K63" s="132"/>
      <c r="L63" s="132"/>
      <c r="M63" s="142"/>
      <c r="N63" s="142"/>
      <c r="O63" s="142"/>
      <c r="P63" s="142"/>
      <c r="Q63" s="142"/>
      <c r="R63" s="142"/>
      <c r="S63" s="142"/>
    </row>
    <row r="64" spans="3:19" x14ac:dyDescent="0.25">
      <c r="C64" s="131"/>
      <c r="D64" s="131"/>
      <c r="E64" s="131"/>
      <c r="F64" s="131"/>
      <c r="G64" s="132"/>
      <c r="H64" s="132"/>
      <c r="I64" s="132"/>
      <c r="J64" s="132"/>
      <c r="K64" s="132"/>
      <c r="L64" s="132"/>
      <c r="M64" s="133" t="s">
        <v>287</v>
      </c>
      <c r="N64" s="101" t="e">
        <f>(VLOOKUP($D$61,'Indata old'!1:1048576,22,FALSE)*VLOOKUP(Typmodell!D60,'Indata old'!A5:W86,10,FALSE)*Typmodell!D62)/VLOOKUP(D60,'Indata old'!A5:W94,7,FALSE)/VLOOKUP(Typmodell!D22,'Indata old'!A5:V83,4,FALSE)</f>
        <v>#N/A</v>
      </c>
      <c r="O64" s="133" t="s">
        <v>285</v>
      </c>
      <c r="P64" s="147"/>
      <c r="Q64" s="147"/>
      <c r="R64" s="147"/>
      <c r="S64" s="147"/>
    </row>
    <row r="65" spans="1:19" x14ac:dyDescent="0.25">
      <c r="C65" s="131"/>
      <c r="D65" s="131"/>
      <c r="E65" s="131"/>
      <c r="F65" s="131"/>
      <c r="G65" s="132"/>
      <c r="H65" s="132"/>
      <c r="I65" s="132"/>
      <c r="J65" s="132"/>
      <c r="K65" s="132"/>
      <c r="L65" s="132"/>
      <c r="M65" s="133" t="s">
        <v>288</v>
      </c>
      <c r="N65" s="101" t="e">
        <f>(VLOOKUP($D$61,'Indata old'!1:1048576,22,FALSE)*VLOOKUP(Typmodell!D60,'Indata old'!A5:W86,9,FALSE)*Typmodell!D62)/VLOOKUP(D60,'Indata old'!A5:W94,7,FALSE)/VLOOKUP(Typmodell!D22,'Indata old'!A5:V83,4,FALSE)</f>
        <v>#N/A</v>
      </c>
      <c r="O65" s="133" t="s">
        <v>285</v>
      </c>
      <c r="P65" s="133"/>
      <c r="Q65" s="133"/>
      <c r="R65" s="133"/>
      <c r="S65" s="133"/>
    </row>
    <row r="66" spans="1:19" x14ac:dyDescent="0.25">
      <c r="C66" s="131"/>
      <c r="D66" s="131"/>
      <c r="E66" s="131"/>
      <c r="F66" s="131"/>
      <c r="G66" s="132"/>
      <c r="H66" s="132"/>
      <c r="I66" s="132"/>
      <c r="J66" s="132"/>
      <c r="K66" s="132"/>
      <c r="L66" s="132"/>
      <c r="M66" s="133"/>
      <c r="N66" s="133"/>
      <c r="O66" s="133"/>
      <c r="P66" s="133"/>
      <c r="Q66" s="133"/>
      <c r="R66" s="133"/>
      <c r="S66" s="133"/>
    </row>
    <row r="67" spans="1:19" x14ac:dyDescent="0.25">
      <c r="C67" s="130"/>
      <c r="D67" s="131"/>
      <c r="E67" s="131"/>
      <c r="F67" s="131"/>
      <c r="G67" s="132"/>
      <c r="H67" s="132"/>
      <c r="I67" s="132"/>
      <c r="J67" s="132"/>
      <c r="K67" s="132"/>
      <c r="L67" s="132"/>
      <c r="M67" s="133" t="s">
        <v>284</v>
      </c>
      <c r="N67" s="101" t="e">
        <f>N65+N64</f>
        <v>#N/A</v>
      </c>
      <c r="O67" s="133" t="s">
        <v>285</v>
      </c>
      <c r="P67" s="133" t="e">
        <f>IF($N$67&lt;0.1,"Emissionerna understiger 0.1 g CO2eq/MJ","")</f>
        <v>#N/A</v>
      </c>
      <c r="Q67" s="133"/>
      <c r="R67" s="133"/>
      <c r="S67" s="133"/>
    </row>
    <row r="68" spans="1:19" x14ac:dyDescent="0.25">
      <c r="C68" s="130"/>
      <c r="D68" s="131"/>
      <c r="E68" s="131"/>
      <c r="F68" s="131"/>
      <c r="G68" s="132"/>
      <c r="H68" s="132"/>
      <c r="I68" s="132"/>
      <c r="J68" s="132"/>
      <c r="K68" s="132"/>
      <c r="L68" s="132"/>
      <c r="M68" s="133"/>
      <c r="N68" s="133"/>
      <c r="O68" s="133"/>
      <c r="P68" s="133"/>
      <c r="Q68" s="133"/>
      <c r="R68" s="133"/>
      <c r="S68" s="133"/>
    </row>
    <row r="69" spans="1:19" ht="23.25" x14ac:dyDescent="0.35">
      <c r="C69" s="148" t="s">
        <v>235</v>
      </c>
      <c r="D69" s="149"/>
      <c r="E69" s="149"/>
      <c r="F69" s="149"/>
      <c r="G69" s="149"/>
      <c r="H69" s="149"/>
      <c r="I69" s="149"/>
      <c r="J69" s="149"/>
      <c r="K69" s="149"/>
      <c r="L69" s="149"/>
      <c r="M69" s="149"/>
      <c r="N69" s="149"/>
      <c r="O69" s="149"/>
      <c r="P69" s="149"/>
      <c r="Q69" s="150"/>
      <c r="R69" s="150"/>
      <c r="S69" s="150"/>
    </row>
    <row r="70" spans="1:19" ht="19.5" x14ac:dyDescent="0.3">
      <c r="C70" s="317" t="s">
        <v>17</v>
      </c>
      <c r="D70" s="317"/>
      <c r="E70" s="317"/>
      <c r="F70" s="317"/>
      <c r="G70" s="336" t="s">
        <v>399</v>
      </c>
      <c r="H70" s="336"/>
      <c r="I70" s="336"/>
      <c r="J70" s="336"/>
      <c r="K70" s="336"/>
      <c r="L70" s="336"/>
      <c r="M70" s="337" t="s">
        <v>198</v>
      </c>
      <c r="N70" s="337"/>
      <c r="O70" s="337"/>
      <c r="P70" s="337"/>
      <c r="Q70" s="337"/>
      <c r="R70" s="337"/>
      <c r="S70" s="337"/>
    </row>
    <row r="71" spans="1:19" x14ac:dyDescent="0.25">
      <c r="C71" s="131" t="s">
        <v>225</v>
      </c>
      <c r="D71" s="61">
        <v>10</v>
      </c>
      <c r="E71" s="131"/>
      <c r="F71" s="131">
        <v>1</v>
      </c>
      <c r="G71" s="132"/>
      <c r="H71" s="132"/>
      <c r="I71" s="132"/>
      <c r="J71" s="132"/>
      <c r="K71" s="132"/>
      <c r="L71" s="132"/>
      <c r="M71" s="142"/>
      <c r="N71" s="142"/>
      <c r="O71" s="142"/>
      <c r="P71" s="142"/>
      <c r="Q71" s="142"/>
      <c r="R71" s="142"/>
      <c r="S71" s="142"/>
    </row>
    <row r="72" spans="1:19" x14ac:dyDescent="0.25">
      <c r="C72" s="143"/>
      <c r="D72" s="131"/>
      <c r="E72" s="131"/>
      <c r="F72" s="131"/>
      <c r="G72" s="144" t="s">
        <v>236</v>
      </c>
      <c r="H72" s="154">
        <f>D71</f>
        <v>10</v>
      </c>
      <c r="I72" s="144" t="s">
        <v>374</v>
      </c>
      <c r="J72" s="132"/>
      <c r="K72" s="132"/>
      <c r="L72" s="132"/>
      <c r="M72" s="142"/>
      <c r="N72" s="142"/>
      <c r="O72" s="142"/>
      <c r="P72" s="142"/>
      <c r="Q72" s="142"/>
      <c r="R72" s="142"/>
      <c r="S72" s="142"/>
    </row>
    <row r="73" spans="1:19" x14ac:dyDescent="0.25">
      <c r="C73" s="131" t="s">
        <v>222</v>
      </c>
      <c r="D73" s="61" t="s">
        <v>211</v>
      </c>
      <c r="E73" s="131"/>
      <c r="F73" s="131"/>
      <c r="G73" s="144" t="s">
        <v>371</v>
      </c>
      <c r="H73" s="136" t="str">
        <f>D73</f>
        <v>Liten</v>
      </c>
      <c r="I73" s="132"/>
      <c r="J73" s="132"/>
      <c r="K73" s="132"/>
      <c r="L73" s="132"/>
      <c r="M73" s="142"/>
      <c r="N73" s="142"/>
      <c r="O73" s="142"/>
      <c r="P73" s="142"/>
      <c r="Q73" s="142"/>
      <c r="R73" s="142"/>
      <c r="S73" s="142"/>
    </row>
    <row r="74" spans="1:19" x14ac:dyDescent="0.25">
      <c r="C74" s="131"/>
      <c r="D74" s="131"/>
      <c r="E74" s="131"/>
      <c r="F74" s="131"/>
      <c r="G74" s="144"/>
      <c r="H74" s="118"/>
      <c r="I74" s="132"/>
      <c r="J74" s="132"/>
      <c r="K74" s="132"/>
      <c r="L74" s="132"/>
      <c r="M74" s="142"/>
      <c r="N74" s="142"/>
      <c r="O74" s="142"/>
      <c r="P74" s="142"/>
      <c r="Q74" s="142"/>
      <c r="R74" s="142"/>
      <c r="S74" s="142"/>
    </row>
    <row r="75" spans="1:19" x14ac:dyDescent="0.25">
      <c r="C75" s="131" t="s">
        <v>224</v>
      </c>
      <c r="D75" s="61" t="s">
        <v>231</v>
      </c>
      <c r="E75" s="131"/>
      <c r="F75" s="131">
        <v>2</v>
      </c>
      <c r="G75" s="144" t="s">
        <v>224</v>
      </c>
      <c r="H75" s="136" t="str">
        <f>D75</f>
        <v>Eldningsolja</v>
      </c>
      <c r="I75" s="132"/>
      <c r="J75" s="132"/>
      <c r="K75" s="132"/>
      <c r="L75" s="132"/>
      <c r="M75" s="133" t="s">
        <v>372</v>
      </c>
      <c r="N75" s="101">
        <f>IF($D$73="okänd",VLOOKUP($D$75,'Indata old'!$B$66:$C$70,2,FALSE),IF($D$73="liten",VLOOKUP($D$75,'Indata old'!B72:C76,2,FALSE),IF($D$73="stor",VLOOKUP($D$75,'Indata old'!$B$78:$C$82,2,FALSE))))</f>
        <v>8.4049597906227042E-2</v>
      </c>
      <c r="O75" s="133" t="s">
        <v>373</v>
      </c>
      <c r="P75" s="142"/>
      <c r="Q75" s="142"/>
      <c r="R75" s="142"/>
      <c r="S75" s="142"/>
    </row>
    <row r="76" spans="1:19" ht="18" x14ac:dyDescent="0.35">
      <c r="C76" s="131"/>
      <c r="D76" s="131"/>
      <c r="E76" s="131"/>
      <c r="F76" s="131"/>
      <c r="G76" s="132"/>
      <c r="H76" s="132"/>
      <c r="I76" s="132"/>
      <c r="J76" s="132"/>
      <c r="K76" s="132"/>
      <c r="L76" s="132"/>
      <c r="M76" s="133" t="s">
        <v>284</v>
      </c>
      <c r="N76" s="101">
        <f>IF(D71="Okänd",4*N75,N75*D71)</f>
        <v>0.84049597906227036</v>
      </c>
      <c r="O76" s="133" t="s">
        <v>197</v>
      </c>
      <c r="P76" s="142" t="str">
        <f>IF($N$76&lt;0.1,"Emissionerna understiger 0.1 g CO2eq/MJ","")</f>
        <v/>
      </c>
      <c r="Q76" s="142"/>
      <c r="R76" s="142"/>
      <c r="S76" s="142"/>
    </row>
    <row r="77" spans="1:19" ht="26.25" x14ac:dyDescent="0.4">
      <c r="A77" s="104"/>
      <c r="C77" s="151" t="s">
        <v>145</v>
      </c>
      <c r="D77" s="149"/>
      <c r="E77" s="149"/>
      <c r="F77" s="149"/>
      <c r="G77" s="149"/>
      <c r="H77" s="149"/>
      <c r="I77" s="149"/>
      <c r="J77" s="149"/>
      <c r="K77" s="149"/>
      <c r="L77" s="149"/>
      <c r="M77" s="149"/>
      <c r="N77" s="150"/>
      <c r="O77" s="150"/>
      <c r="P77" s="150"/>
      <c r="Q77" s="150"/>
      <c r="R77" s="150"/>
      <c r="S77" s="150"/>
    </row>
    <row r="78" spans="1:19" x14ac:dyDescent="0.25">
      <c r="C78" s="131"/>
      <c r="D78" s="131"/>
      <c r="E78" s="131"/>
      <c r="F78" s="131"/>
      <c r="G78" s="152" t="s">
        <v>293</v>
      </c>
      <c r="H78" s="132"/>
      <c r="I78" s="132"/>
      <c r="J78" s="132"/>
      <c r="K78" s="132"/>
      <c r="L78" s="132"/>
      <c r="M78" s="142"/>
      <c r="N78" s="142"/>
      <c r="O78" s="142"/>
      <c r="P78" s="142"/>
      <c r="Q78" s="142"/>
      <c r="R78" s="142"/>
      <c r="S78" s="142"/>
    </row>
    <row r="79" spans="1:19" x14ac:dyDescent="0.25">
      <c r="C79" s="131" t="s">
        <v>245</v>
      </c>
      <c r="D79" s="61" t="s">
        <v>383</v>
      </c>
      <c r="E79" s="131"/>
      <c r="F79" s="131"/>
      <c r="G79" s="144" t="s">
        <v>278</v>
      </c>
      <c r="H79" s="118">
        <f>IF($D$79="Eget värde","0.145",VLOOKUP(D$79,'Indata old'!A$5:Z$90,11,FALSE))</f>
        <v>0.14499999999999999</v>
      </c>
      <c r="I79" s="144" t="s">
        <v>13</v>
      </c>
      <c r="J79" s="132"/>
      <c r="K79" s="132"/>
      <c r="L79" s="132"/>
      <c r="M79" s="145" t="s">
        <v>295</v>
      </c>
      <c r="N79" s="101">
        <f>VLOOKUP(D79,'Indata old'!A5:AC98,11,FALSE)*IF(D79="Eget avstånd",D82,VLOOKUP(D79,'Indata old'!A5:AA98,21,FALSE))*IF($D$80="Okänt bränsle","40960",VLOOKUP($D$80,'Indata old'!A5:AC101,4,FALSE))</f>
        <v>8314880</v>
      </c>
      <c r="O79" s="145" t="s">
        <v>8</v>
      </c>
      <c r="P79" s="142"/>
      <c r="Q79" s="142"/>
      <c r="R79" s="142"/>
      <c r="S79" s="142"/>
    </row>
    <row r="80" spans="1:19" x14ac:dyDescent="0.25">
      <c r="C80" s="146" t="s">
        <v>296</v>
      </c>
      <c r="D80" s="61" t="s">
        <v>298</v>
      </c>
      <c r="E80" s="131"/>
      <c r="F80" s="131"/>
      <c r="G80" s="144" t="s">
        <v>294</v>
      </c>
      <c r="H80" s="70">
        <f>IF(D79="Eget avstånd",$D$82,VLOOKUP($D$79,'Indata old'!A5:U104,21,FALSE))</f>
        <v>1400</v>
      </c>
      <c r="I80" s="144" t="s">
        <v>7</v>
      </c>
      <c r="J80" s="132"/>
      <c r="K80" s="132"/>
      <c r="L80" s="132"/>
      <c r="M80" s="145" t="s">
        <v>304</v>
      </c>
      <c r="N80" s="101">
        <f>$N$79*VLOOKUP($D$80,'Indata old'!A5:W95,3,FALSE)</f>
        <v>719226567.00419199</v>
      </c>
      <c r="O80" s="145" t="s">
        <v>128</v>
      </c>
      <c r="P80" s="142"/>
      <c r="Q80" s="142"/>
      <c r="R80" s="142"/>
      <c r="S80" s="142"/>
    </row>
    <row r="81" spans="1:19" x14ac:dyDescent="0.25">
      <c r="C81" s="146" t="s">
        <v>306</v>
      </c>
      <c r="D81" s="341" t="s">
        <v>309</v>
      </c>
      <c r="E81" s="341"/>
      <c r="F81" s="131"/>
      <c r="G81" s="144" t="s">
        <v>310</v>
      </c>
      <c r="H81" s="319" t="str">
        <f>D81</f>
        <v>Direktimport utan omlastning</v>
      </c>
      <c r="I81" s="319"/>
      <c r="J81" s="319"/>
      <c r="K81" s="132"/>
      <c r="L81" s="132"/>
      <c r="M81" s="145" t="s">
        <v>305</v>
      </c>
      <c r="N81" s="101">
        <f>$N$80/(VLOOKUP($D$79,'Indata old'!A5:V90,7,FALSE)*$H$80)</f>
        <v>4.6703023831441035</v>
      </c>
      <c r="O81" s="145" t="s">
        <v>14</v>
      </c>
      <c r="P81" s="142"/>
      <c r="Q81" s="142"/>
      <c r="R81" s="142"/>
      <c r="S81" s="142"/>
    </row>
    <row r="82" spans="1:19" x14ac:dyDescent="0.25">
      <c r="C82" s="153" t="str">
        <f>IF(D79="Eget värde","Ange transportavstånd till Sverige:","")</f>
        <v/>
      </c>
      <c r="D82" s="61">
        <v>1400</v>
      </c>
      <c r="E82" s="131" t="str">
        <f>IF(D79="Eget värde","km","")</f>
        <v/>
      </c>
      <c r="F82" s="131"/>
      <c r="G82" s="132"/>
      <c r="H82" s="132"/>
      <c r="I82" s="132"/>
      <c r="J82" s="132"/>
      <c r="K82" s="132"/>
      <c r="L82" s="132"/>
      <c r="M82" s="142"/>
      <c r="N82" s="142"/>
      <c r="O82" s="142"/>
      <c r="P82" s="142"/>
      <c r="Q82" s="142"/>
      <c r="R82" s="142"/>
      <c r="S82" s="142"/>
    </row>
    <row r="83" spans="1:19" ht="18.75" customHeight="1" x14ac:dyDescent="0.25">
      <c r="C83" s="131"/>
      <c r="D83" s="131"/>
      <c r="E83" s="131"/>
      <c r="F83" s="131"/>
      <c r="G83" s="132"/>
      <c r="H83" s="132"/>
      <c r="I83" s="132"/>
      <c r="J83" s="132"/>
      <c r="K83" s="132"/>
      <c r="L83" s="132"/>
      <c r="M83" s="142"/>
      <c r="N83" s="142"/>
      <c r="O83" s="142"/>
      <c r="P83" s="142"/>
      <c r="Q83" s="142"/>
      <c r="R83" s="142"/>
      <c r="S83" s="142"/>
    </row>
    <row r="84" spans="1:19" x14ac:dyDescent="0.25">
      <c r="C84" s="131"/>
      <c r="D84" s="131"/>
      <c r="E84" s="131"/>
      <c r="F84" s="131"/>
      <c r="G84" s="132"/>
      <c r="H84" s="132"/>
      <c r="I84" s="132"/>
      <c r="J84" s="132"/>
      <c r="K84" s="132"/>
      <c r="L84" s="132"/>
      <c r="M84" s="145" t="s">
        <v>311</v>
      </c>
      <c r="N84" s="101" t="e">
        <f>$N$81*IF($D$79="Eget avstånd",$D$82,VLOOKUP($D$79,'Indata old'!A5:W91,21,FALSE))/VLOOKUP($D$22,'Indata old'!A5:V70,4,FALSE)</f>
        <v>#N/A</v>
      </c>
      <c r="O84" s="142"/>
      <c r="P84" s="142"/>
      <c r="Q84" s="142"/>
      <c r="R84" s="142"/>
      <c r="S84" s="142"/>
    </row>
    <row r="85" spans="1:19" x14ac:dyDescent="0.25">
      <c r="C85" s="131"/>
      <c r="D85" s="131"/>
      <c r="E85" s="131"/>
      <c r="F85" s="131"/>
      <c r="G85" s="132"/>
      <c r="H85" s="132"/>
      <c r="I85" s="132"/>
      <c r="J85" s="132"/>
      <c r="K85" s="132"/>
      <c r="L85" s="132"/>
      <c r="M85" s="142"/>
      <c r="N85" s="142"/>
      <c r="O85" s="142"/>
      <c r="P85" s="142"/>
      <c r="Q85" s="142"/>
      <c r="R85" s="142"/>
      <c r="S85" s="142"/>
    </row>
    <row r="86" spans="1:19" x14ac:dyDescent="0.25">
      <c r="C86" s="131"/>
      <c r="D86" s="131"/>
      <c r="E86" s="131"/>
      <c r="F86" s="131"/>
      <c r="G86" s="132"/>
      <c r="H86" s="132"/>
      <c r="I86" s="132"/>
      <c r="J86" s="132"/>
      <c r="K86" s="132"/>
      <c r="L86" s="132"/>
      <c r="M86" s="145" t="s">
        <v>312</v>
      </c>
      <c r="N86" s="101">
        <f>('Indata old'!K58*'Indata old'!U58*'Indata old'!D23*'Indata old'!C23)/('Indata old'!G58*'Indata old'!U58)*'Indata old'!U58/'Indata old'!D23</f>
        <v>0.5037216937883553</v>
      </c>
      <c r="O86" s="142"/>
      <c r="P86" s="142"/>
      <c r="Q86" s="142"/>
      <c r="R86" s="142"/>
      <c r="S86" s="142"/>
    </row>
    <row r="87" spans="1:19" x14ac:dyDescent="0.25">
      <c r="C87" s="131"/>
      <c r="D87" s="131"/>
      <c r="E87" s="131"/>
      <c r="F87" s="131"/>
      <c r="G87" s="132"/>
      <c r="H87" s="132"/>
      <c r="I87" s="132"/>
      <c r="J87" s="132"/>
      <c r="K87" s="132"/>
      <c r="L87" s="132"/>
      <c r="M87" s="142"/>
      <c r="N87" s="142"/>
      <c r="O87" s="142"/>
      <c r="P87" s="142"/>
      <c r="Q87" s="142"/>
      <c r="R87" s="142"/>
      <c r="S87" s="142"/>
    </row>
    <row r="88" spans="1:19" x14ac:dyDescent="0.25">
      <c r="C88" s="131"/>
      <c r="D88" s="131"/>
      <c r="E88" s="131"/>
      <c r="F88" s="131"/>
      <c r="G88" s="132"/>
      <c r="H88" s="132"/>
      <c r="I88" s="132"/>
      <c r="J88" s="132"/>
      <c r="K88" s="132"/>
      <c r="L88" s="132"/>
      <c r="M88" s="147"/>
      <c r="N88" s="147"/>
      <c r="O88" s="147"/>
      <c r="P88" s="133"/>
      <c r="Q88" s="133"/>
      <c r="R88" s="133"/>
      <c r="S88" s="133"/>
    </row>
    <row r="89" spans="1:19" x14ac:dyDescent="0.25">
      <c r="C89" s="131"/>
      <c r="D89" s="131"/>
      <c r="E89" s="131"/>
      <c r="F89" s="131"/>
      <c r="G89" s="132"/>
      <c r="H89" s="132"/>
      <c r="I89" s="132"/>
      <c r="J89" s="132"/>
      <c r="K89" s="132"/>
      <c r="L89" s="132"/>
      <c r="M89" s="133" t="s">
        <v>261</v>
      </c>
      <c r="N89" s="101" t="e">
        <f>IF($D$81="Direktimport utan omlastning",$N$84,($N$84+$N$86))</f>
        <v>#N/A</v>
      </c>
      <c r="O89" s="133" t="s">
        <v>262</v>
      </c>
      <c r="P89" s="133" t="e">
        <f>IF(N89&lt;0.1,"Emissionerna understiger 0.1 g CO2eq/MJ","")</f>
        <v>#N/A</v>
      </c>
      <c r="Q89" s="133"/>
      <c r="R89" s="133"/>
      <c r="S89" s="133"/>
    </row>
    <row r="90" spans="1:19" ht="23.25" x14ac:dyDescent="0.35">
      <c r="A90" s="103"/>
      <c r="C90" s="131"/>
      <c r="D90" s="131"/>
      <c r="E90" s="131"/>
      <c r="F90" s="131"/>
      <c r="G90" s="132"/>
      <c r="H90" s="132"/>
      <c r="I90" s="132"/>
      <c r="J90" s="132"/>
      <c r="K90" s="132"/>
      <c r="L90" s="132"/>
      <c r="M90" s="147"/>
      <c r="N90" s="147"/>
      <c r="O90" s="147"/>
      <c r="P90" s="133"/>
      <c r="Q90" s="133"/>
      <c r="R90" s="133"/>
      <c r="S90" s="133"/>
    </row>
    <row r="93" spans="1:19" x14ac:dyDescent="0.25">
      <c r="A93"/>
    </row>
    <row r="94" spans="1:19" x14ac:dyDescent="0.25">
      <c r="A94"/>
    </row>
    <row r="95" spans="1:19" x14ac:dyDescent="0.25">
      <c r="A95"/>
    </row>
    <row r="96" spans="1:19"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sheetData>
  <sheetProtection password="EA8D" sheet="1" objects="1" scenarios="1"/>
  <mergeCells count="10">
    <mergeCell ref="C3:O3"/>
    <mergeCell ref="G56:L56"/>
    <mergeCell ref="M56:S56"/>
    <mergeCell ref="D24:F24"/>
    <mergeCell ref="D81:E81"/>
    <mergeCell ref="H81:J81"/>
    <mergeCell ref="G70:L70"/>
    <mergeCell ref="M70:S70"/>
    <mergeCell ref="C56:F56"/>
    <mergeCell ref="C70:F70"/>
  </mergeCells>
  <conditionalFormatting sqref="C30:O40">
    <cfRule type="expression" dxfId="3" priority="27">
      <formula>$C$30="Odling"</formula>
    </cfRule>
  </conditionalFormatting>
  <conditionalFormatting sqref="C42:O52">
    <cfRule type="expression" dxfId="2" priority="26">
      <formula>$C$42="Process"</formula>
    </cfRule>
  </conditionalFormatting>
  <conditionalFormatting sqref="C31:C40">
    <cfRule type="expression" dxfId="1" priority="22">
      <formula>$C$30="odling"</formula>
    </cfRule>
  </conditionalFormatting>
  <conditionalFormatting sqref="D67:D68">
    <cfRule type="expression" dxfId="0" priority="36">
      <formula>$D$62="Eget värde"</formula>
    </cfRule>
  </conditionalFormatting>
  <dataValidations xWindow="371" yWindow="736" count="4">
    <dataValidation allowBlank="1" showInputMessage="1" showErrorMessage="1" promptTitle="Välj transport avstånd, km" prompt="km" sqref="F75"/>
    <dataValidation type="whole" errorStyle="information" allowBlank="1" showInputMessage="1" showErrorMessage="1" errorTitle="Felaktigt avstånd." error="Ange en siffra." sqref="D82">
      <formula1>1</formula1>
      <formula2>1000000</formula2>
    </dataValidation>
    <dataValidation allowBlank="1" showInputMessage="1" showErrorMessage="1" promptTitle="Ange transportavstånd i km." sqref="D67:F68"/>
    <dataValidation type="whole" errorStyle="information" allowBlank="1" showInputMessage="1" showErrorMessage="1" errorTitle="Fel indata" error="Ange siffror utan decimaler." promptTitle="Ange transportavstånd." prompt="Anges i kilometer." sqref="D62">
      <formula1>1</formula1>
      <formula2>1000000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heck Box 8">
              <controlPr locked="0" defaultSize="0" autoFill="0" autoLine="0" autoPict="0">
                <anchor moveWithCells="1">
                  <from>
                    <xdr:col>3</xdr:col>
                    <xdr:colOff>47625</xdr:colOff>
                    <xdr:row>24</xdr:row>
                    <xdr:rowOff>9525</xdr:rowOff>
                  </from>
                  <to>
                    <xdr:col>3</xdr:col>
                    <xdr:colOff>561975</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71" yWindow="736" count="11">
        <x14:dataValidation type="list" allowBlank="1" showInputMessage="1" showErrorMessage="1" promptTitle="Välj fordonstyp" prompt="Välj representativt fordon eller Okänt._x000a_Liten tankbil avser fordon med maximal lastkapacitet på 15 ton._x000a_Stor tankbil avser fordon med maximal lastkapacitet på 33 ton.">
          <x14:formula1>
            <xm:f>Tabelldata!$K$7:$K$9</xm:f>
          </x14:formula1>
          <xm:sqref>D60</xm:sqref>
        </x14:dataValidation>
        <x14:dataValidation type="list" allowBlank="1" showInputMessage="1" showErrorMessage="1" promptTitle="Välj typ av bioolja" prompt="Välj vilken typ av bioolja som beräkningen avser.">
          <x14:formula1>
            <xm:f>'Indata old'!$A$7:$A$9</xm:f>
          </x14:formula1>
          <xm:sqref>D22</xm:sqref>
        </x14:dataValidation>
        <x14:dataValidation type="list" allowBlank="1" showInputMessage="1" showErrorMessage="1">
          <x14:formula1>
            <xm:f>Tabelldata!$F$31:$F$35</xm:f>
          </x14:formula1>
          <xm:sqref>D75</xm:sqref>
        </x14:dataValidation>
        <x14:dataValidation type="list" allowBlank="1" showInputMessage="1" showErrorMessage="1">
          <x14:formula1>
            <xm:f>Tabelldata!$E$31:$E$43</xm:f>
          </x14:formula1>
          <xm:sqref>D71</xm:sqref>
        </x14:dataValidation>
        <x14:dataValidation type="list" allowBlank="1" showInputMessage="1" showErrorMessage="1">
          <x14:formula1>
            <xm:f>Tabelldata!$D$31:$D$33</xm:f>
          </x14:formula1>
          <xm:sqref>D73</xm:sqref>
        </x14:dataValidation>
        <x14:dataValidation type="list" allowBlank="1" showInputMessage="1" showErrorMessage="1" promptTitle="Välj fartygsbränsle.">
          <x14:formula1>
            <xm:f>Tabelldata!$F$19:$F$22</xm:f>
          </x14:formula1>
          <xm:sqref>D80</xm:sqref>
        </x14:dataValidation>
        <x14:dataValidation type="list" allowBlank="1" showInputMessage="1" showErrorMessage="1" promptTitle="Omlastning eller direktimport." prompt="Ange om biobränslet omlastas innan transport till Sverige eller om biobränslet transporteras direkt utan omlastning.">
          <x14:formula1>
            <xm:f>Tabelldata!$H$19:$H$20</xm:f>
          </x14:formula1>
          <xm:sqref>D81</xm:sqref>
        </x14:dataValidation>
        <x14:dataValidation type="list" allowBlank="1" showInputMessage="1" showErrorMessage="1" promptTitle="Ange biobränsle och ändamål." prompt="Obligatoriskt.">
          <x14:formula1>
            <xm:f>Tabelldata!$K$19:$K$22</xm:f>
          </x14:formula1>
          <xm:sqref>D24</xm:sqref>
        </x14:dataValidation>
        <x14:dataValidation type="list" allowBlank="1" showInputMessage="1" showErrorMessage="1">
          <x14:formula1>
            <xm:f>Tabelldata!$M$7:$M$8</xm:f>
          </x14:formula1>
          <xm:sqref>D61</xm:sqref>
        </x14:dataValidation>
        <x14:dataValidation type="list" allowBlank="1" showInputMessage="1" showErrorMessage="1" promptTitle="Välj typ av bioolja" prompt="Välj vilken typ av bioolja som beräkningen avser.">
          <x14:formula1>
            <xm:f>Tabelldata!$O$7:$O$9</xm:f>
          </x14:formula1>
          <xm:sqref>D23</xm:sqref>
        </x14:dataValidation>
        <x14:dataValidation type="list" allowBlank="1" showInputMessage="1" showErrorMessage="1">
          <x14:formula1>
            <xm:f>Tabelldata!$D$19:$D$26</xm:f>
          </x14:formula1>
          <xm:sqref>D79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9" tint="-0.249977111117893"/>
  </sheetPr>
  <dimension ref="A1:AN149"/>
  <sheetViews>
    <sheetView zoomScale="75" zoomScaleNormal="75" workbookViewId="0">
      <pane xSplit="1" ySplit="4" topLeftCell="B5" activePane="bottomRight" state="frozen"/>
      <selection pane="topRight" activeCell="B1" sqref="B1"/>
      <selection pane="bottomLeft" activeCell="A6" sqref="A6"/>
      <selection pane="bottomRight" activeCell="B9" sqref="B9"/>
    </sheetView>
  </sheetViews>
  <sheetFormatPr defaultRowHeight="15" x14ac:dyDescent="0.25"/>
  <cols>
    <col min="1" max="1" width="23.28515625" style="276" customWidth="1"/>
    <col min="2" max="2" width="42.42578125" style="276" customWidth="1"/>
    <col min="3" max="3" width="10.85546875" style="276" bestFit="1" customWidth="1"/>
    <col min="4" max="4" width="13.42578125" style="276" bestFit="1" customWidth="1"/>
    <col min="5" max="5" width="9.7109375" style="276" bestFit="1" customWidth="1"/>
    <col min="6" max="6" width="10.85546875" style="276" bestFit="1" customWidth="1"/>
    <col min="7" max="7" width="14.5703125" style="276" bestFit="1" customWidth="1"/>
    <col min="8" max="9" width="9.28515625" style="276" bestFit="1" customWidth="1"/>
    <col min="10" max="11" width="9.7109375" style="276" bestFit="1" customWidth="1"/>
    <col min="12" max="13" width="12.28515625" style="276" bestFit="1" customWidth="1"/>
    <col min="14" max="17" width="9.7109375" style="276" bestFit="1" customWidth="1"/>
    <col min="18" max="18" width="12.28515625" style="276" bestFit="1" customWidth="1"/>
    <col min="19" max="19" width="13.42578125" style="276" bestFit="1" customWidth="1"/>
    <col min="20" max="20" width="18.5703125" style="276" bestFit="1" customWidth="1"/>
    <col min="21" max="21" width="13.42578125" style="276" bestFit="1" customWidth="1"/>
    <col min="22" max="23" width="12.28515625" style="276" bestFit="1" customWidth="1"/>
    <col min="24" max="29" width="9.7109375" style="276" bestFit="1" customWidth="1"/>
    <col min="30" max="30" width="10.85546875" style="276" bestFit="1" customWidth="1"/>
    <col min="31" max="33" width="9.7109375" style="276" bestFit="1" customWidth="1"/>
    <col min="34" max="34" width="14.5703125" style="276" bestFit="1" customWidth="1"/>
    <col min="35" max="38" width="9.7109375" style="276" bestFit="1" customWidth="1"/>
    <col min="39" max="16384" width="9.140625" style="276"/>
  </cols>
  <sheetData>
    <row r="1" spans="1:40" ht="26.25" x14ac:dyDescent="0.4">
      <c r="A1" s="275"/>
      <c r="B1" s="275" t="s">
        <v>672</v>
      </c>
    </row>
    <row r="2" spans="1:40" x14ac:dyDescent="0.25">
      <c r="A2" s="276">
        <v>1</v>
      </c>
      <c r="B2" s="276">
        <v>2</v>
      </c>
      <c r="C2" s="276">
        <v>3</v>
      </c>
      <c r="D2" s="276">
        <v>4</v>
      </c>
      <c r="E2" s="276">
        <v>5</v>
      </c>
      <c r="F2" s="276">
        <v>6</v>
      </c>
      <c r="G2" s="276">
        <v>7</v>
      </c>
      <c r="H2" s="276">
        <v>8</v>
      </c>
      <c r="I2" s="276">
        <v>9</v>
      </c>
      <c r="J2" s="276">
        <v>10</v>
      </c>
      <c r="K2" s="276">
        <v>11</v>
      </c>
      <c r="L2" s="276">
        <v>12</v>
      </c>
      <c r="M2" s="276">
        <v>13</v>
      </c>
      <c r="N2" s="276">
        <v>14</v>
      </c>
      <c r="O2" s="276">
        <v>15</v>
      </c>
      <c r="P2" s="276">
        <v>16</v>
      </c>
      <c r="Q2" s="276">
        <v>17</v>
      </c>
      <c r="R2" s="276">
        <v>18</v>
      </c>
      <c r="S2" s="276">
        <v>19</v>
      </c>
      <c r="T2" s="276">
        <v>20</v>
      </c>
      <c r="U2" s="276">
        <v>21</v>
      </c>
      <c r="V2" s="276">
        <v>22</v>
      </c>
      <c r="W2" s="276">
        <v>23</v>
      </c>
      <c r="X2" s="276">
        <v>24</v>
      </c>
      <c r="Y2" s="276">
        <v>25</v>
      </c>
      <c r="Z2" s="276">
        <v>26</v>
      </c>
      <c r="AA2" s="276">
        <v>27</v>
      </c>
      <c r="AB2" s="276">
        <v>28</v>
      </c>
      <c r="AC2" s="276">
        <v>29</v>
      </c>
      <c r="AD2" s="276">
        <v>30</v>
      </c>
      <c r="AE2" s="276">
        <v>31</v>
      </c>
      <c r="AF2" s="276">
        <v>32</v>
      </c>
      <c r="AG2" s="276">
        <v>33</v>
      </c>
      <c r="AH2" s="276">
        <v>34</v>
      </c>
      <c r="AI2" s="276">
        <v>35</v>
      </c>
      <c r="AJ2" s="276">
        <v>36</v>
      </c>
      <c r="AK2" s="276">
        <v>37</v>
      </c>
      <c r="AL2" s="276">
        <v>38</v>
      </c>
    </row>
    <row r="3" spans="1:40" s="278" customFormat="1" ht="98.25" customHeight="1" x14ac:dyDescent="0.25">
      <c r="A3" s="277" t="s">
        <v>275</v>
      </c>
      <c r="B3" s="277" t="s">
        <v>276</v>
      </c>
      <c r="C3" s="277" t="s">
        <v>638</v>
      </c>
      <c r="D3" s="277" t="s">
        <v>25</v>
      </c>
      <c r="E3" s="277" t="s">
        <v>28</v>
      </c>
      <c r="F3" s="277" t="s">
        <v>29</v>
      </c>
      <c r="G3" s="277" t="s">
        <v>34</v>
      </c>
      <c r="H3" s="277" t="s">
        <v>30</v>
      </c>
      <c r="I3" s="277" t="s">
        <v>273</v>
      </c>
      <c r="J3" s="277" t="s">
        <v>274</v>
      </c>
      <c r="K3" s="277" t="s">
        <v>35</v>
      </c>
      <c r="L3" s="277" t="s">
        <v>36</v>
      </c>
      <c r="M3" s="277" t="s">
        <v>469</v>
      </c>
      <c r="N3" s="277" t="s">
        <v>470</v>
      </c>
      <c r="O3" s="277" t="s">
        <v>48</v>
      </c>
      <c r="P3" s="277" t="s">
        <v>181</v>
      </c>
      <c r="Q3" s="277" t="s">
        <v>49</v>
      </c>
      <c r="R3" s="277" t="s">
        <v>50</v>
      </c>
      <c r="S3" s="277" t="s">
        <v>240</v>
      </c>
      <c r="T3" s="277" t="s">
        <v>239</v>
      </c>
      <c r="U3" s="277" t="s">
        <v>252</v>
      </c>
      <c r="V3" s="277" t="s">
        <v>471</v>
      </c>
      <c r="W3" s="277" t="s">
        <v>344</v>
      </c>
      <c r="X3" s="277" t="s">
        <v>345</v>
      </c>
      <c r="Y3" s="277" t="s">
        <v>346</v>
      </c>
      <c r="Z3" s="277" t="s">
        <v>349</v>
      </c>
      <c r="AA3" s="277" t="s">
        <v>472</v>
      </c>
      <c r="AB3" s="277" t="s">
        <v>366</v>
      </c>
      <c r="AC3" s="277" t="s">
        <v>472</v>
      </c>
      <c r="AD3" s="277" t="s">
        <v>473</v>
      </c>
      <c r="AE3" s="277" t="s">
        <v>474</v>
      </c>
      <c r="AF3" s="277" t="s">
        <v>475</v>
      </c>
      <c r="AG3" s="277" t="s">
        <v>560</v>
      </c>
      <c r="AH3" s="277" t="s">
        <v>573</v>
      </c>
      <c r="AI3" s="277" t="s">
        <v>620</v>
      </c>
      <c r="AJ3" s="277" t="s">
        <v>587</v>
      </c>
      <c r="AK3" s="277" t="s">
        <v>613</v>
      </c>
      <c r="AL3" s="277" t="s">
        <v>615</v>
      </c>
      <c r="AN3" s="277" t="s">
        <v>27</v>
      </c>
    </row>
    <row r="5" spans="1:40" x14ac:dyDescent="0.25">
      <c r="A5" s="279" t="s">
        <v>18</v>
      </c>
      <c r="B5" s="279" t="s">
        <v>18</v>
      </c>
    </row>
    <row r="6" spans="1:40" x14ac:dyDescent="0.25">
      <c r="A6" s="276" t="s">
        <v>503</v>
      </c>
      <c r="B6" s="279" t="s">
        <v>503</v>
      </c>
      <c r="C6" s="276">
        <v>107.03503267460484</v>
      </c>
    </row>
    <row r="7" spans="1:40" x14ac:dyDescent="0.25">
      <c r="A7" s="276" t="s">
        <v>231</v>
      </c>
      <c r="B7" s="280" t="s">
        <v>556</v>
      </c>
      <c r="C7" s="276">
        <v>82.305755200000007</v>
      </c>
    </row>
    <row r="8" spans="1:40" x14ac:dyDescent="0.25">
      <c r="A8" s="276" t="s">
        <v>77</v>
      </c>
      <c r="B8" s="279" t="s">
        <v>561</v>
      </c>
      <c r="C8" s="276">
        <v>68.698162614196505</v>
      </c>
    </row>
    <row r="9" spans="1:40" x14ac:dyDescent="0.25">
      <c r="A9" s="276" t="s">
        <v>80</v>
      </c>
      <c r="B9" s="279" t="s">
        <v>80</v>
      </c>
      <c r="C9" s="276">
        <v>118.14612759986794</v>
      </c>
    </row>
    <row r="10" spans="1:40" ht="14.25" customHeight="1" x14ac:dyDescent="0.25">
      <c r="A10" s="276" t="s">
        <v>547</v>
      </c>
      <c r="B10" s="280" t="s">
        <v>558</v>
      </c>
      <c r="C10" s="276">
        <v>2.1566517157678313</v>
      </c>
    </row>
    <row r="11" spans="1:40" x14ac:dyDescent="0.25">
      <c r="A11" s="276" t="s">
        <v>546</v>
      </c>
      <c r="B11" s="280" t="s">
        <v>557</v>
      </c>
      <c r="C11" s="276">
        <v>5.1560000000000006</v>
      </c>
    </row>
    <row r="12" spans="1:40" x14ac:dyDescent="0.25">
      <c r="A12" s="276" t="s">
        <v>555</v>
      </c>
      <c r="B12" s="279" t="s">
        <v>562</v>
      </c>
      <c r="C12" s="276">
        <v>26.892775134158423</v>
      </c>
    </row>
    <row r="13" spans="1:40" x14ac:dyDescent="0.25">
      <c r="A13" s="276" t="s">
        <v>548</v>
      </c>
      <c r="B13" s="280" t="s">
        <v>559</v>
      </c>
      <c r="C13" s="276">
        <v>39.005610024186062</v>
      </c>
    </row>
    <row r="14" spans="1:40" x14ac:dyDescent="0.25">
      <c r="A14" s="276" t="s">
        <v>277</v>
      </c>
      <c r="B14" s="276" t="s">
        <v>0</v>
      </c>
      <c r="C14" s="276">
        <v>81.8</v>
      </c>
      <c r="E14" s="276">
        <v>35.799999999999997</v>
      </c>
      <c r="F14" s="276">
        <v>840</v>
      </c>
      <c r="AN14" s="276" t="s">
        <v>21</v>
      </c>
    </row>
    <row r="15" spans="1:40" x14ac:dyDescent="0.25">
      <c r="A15" s="276" t="s">
        <v>406</v>
      </c>
      <c r="B15" s="276" t="s">
        <v>24</v>
      </c>
      <c r="D15" s="276">
        <v>36000</v>
      </c>
      <c r="F15" s="292">
        <v>870</v>
      </c>
      <c r="AN15" s="276" t="s">
        <v>26</v>
      </c>
    </row>
    <row r="16" spans="1:40" x14ac:dyDescent="0.25">
      <c r="A16" s="276" t="s">
        <v>407</v>
      </c>
      <c r="B16" s="276" t="s">
        <v>23</v>
      </c>
      <c r="D16" s="276">
        <v>36000</v>
      </c>
      <c r="F16" s="276">
        <v>870</v>
      </c>
      <c r="AN16" s="276" t="s">
        <v>26</v>
      </c>
    </row>
    <row r="17" spans="1:40" x14ac:dyDescent="0.25">
      <c r="A17" s="276" t="s">
        <v>408</v>
      </c>
      <c r="B17" s="276" t="s">
        <v>22</v>
      </c>
      <c r="D17" s="276">
        <v>38000</v>
      </c>
      <c r="F17" s="276">
        <v>970</v>
      </c>
      <c r="AN17" s="276" t="s">
        <v>26</v>
      </c>
    </row>
    <row r="18" spans="1:40" x14ac:dyDescent="0.25">
      <c r="A18" s="276" t="s">
        <v>523</v>
      </c>
      <c r="D18" s="276">
        <v>38000</v>
      </c>
      <c r="E18" s="276">
        <v>36.762999999999998</v>
      </c>
      <c r="AN18" s="276" t="s">
        <v>147</v>
      </c>
    </row>
    <row r="19" spans="1:40" x14ac:dyDescent="0.25">
      <c r="A19" s="276" t="s">
        <v>524</v>
      </c>
      <c r="D19" s="276">
        <v>37000</v>
      </c>
      <c r="AB19" s="276">
        <v>5.29</v>
      </c>
      <c r="AN19" s="276" t="s">
        <v>364</v>
      </c>
    </row>
    <row r="20" spans="1:40" x14ac:dyDescent="0.25">
      <c r="A20" s="276" t="s">
        <v>525</v>
      </c>
      <c r="D20" s="276">
        <v>37600</v>
      </c>
    </row>
    <row r="21" spans="1:40" x14ac:dyDescent="0.25">
      <c r="A21" s="276" t="s">
        <v>365</v>
      </c>
      <c r="AB21" s="276">
        <v>9.19</v>
      </c>
      <c r="AN21" s="276" t="s">
        <v>364</v>
      </c>
    </row>
    <row r="24" spans="1:40" x14ac:dyDescent="0.25">
      <c r="B24" s="276" t="s">
        <v>37</v>
      </c>
      <c r="E24" s="276">
        <v>35.299999999999997</v>
      </c>
      <c r="F24" s="276">
        <v>815</v>
      </c>
      <c r="AN24" s="276" t="s">
        <v>55</v>
      </c>
    </row>
    <row r="25" spans="1:40" x14ac:dyDescent="0.25">
      <c r="B25" s="276" t="s">
        <v>38</v>
      </c>
      <c r="E25" s="276">
        <v>35.200000000000003</v>
      </c>
      <c r="F25" s="276">
        <v>818</v>
      </c>
      <c r="Z25" s="276">
        <v>76</v>
      </c>
      <c r="AN25" s="276" t="s">
        <v>21</v>
      </c>
    </row>
    <row r="26" spans="1:40" x14ac:dyDescent="0.25">
      <c r="A26" s="276" t="s">
        <v>476</v>
      </c>
      <c r="B26" s="276" t="s">
        <v>271</v>
      </c>
      <c r="E26" s="276">
        <v>35.799999999999997</v>
      </c>
      <c r="M26" s="273">
        <v>2615</v>
      </c>
      <c r="N26" s="276">
        <v>2.06E-2</v>
      </c>
      <c r="V26" s="273">
        <f>(M26*Koldioxid+N26*Metan+AA26*Lustgas)+(AD26*Koldioxid+AE26*Metan+AF26*Lustgas)</f>
        <v>2876.2694000000001</v>
      </c>
      <c r="AA26" s="276">
        <v>3.6700000000000003E-2</v>
      </c>
      <c r="AD26" s="276">
        <v>222</v>
      </c>
      <c r="AE26" s="276">
        <v>1.19</v>
      </c>
      <c r="AF26" s="276">
        <v>1.9E-3</v>
      </c>
      <c r="AN26" s="276" t="s">
        <v>272</v>
      </c>
    </row>
    <row r="27" spans="1:40" x14ac:dyDescent="0.25">
      <c r="A27" s="276" t="s">
        <v>330</v>
      </c>
      <c r="B27" s="276" t="s">
        <v>139</v>
      </c>
      <c r="C27" s="276">
        <f>'Indata-Transportbränslen'!P46</f>
        <v>77.455756001842872</v>
      </c>
      <c r="M27" s="273"/>
      <c r="AN27" s="276" t="s">
        <v>21</v>
      </c>
    </row>
    <row r="28" spans="1:40" x14ac:dyDescent="0.25">
      <c r="A28" s="276" t="s">
        <v>388</v>
      </c>
      <c r="B28" s="276" t="s">
        <v>140</v>
      </c>
      <c r="C28" s="276">
        <f>'Indata-Transportbränslen'!P48</f>
        <v>77.281606001842874</v>
      </c>
      <c r="M28" s="273">
        <v>2447</v>
      </c>
      <c r="N28" s="276">
        <v>2.9000000000000001E-2</v>
      </c>
      <c r="V28" s="276">
        <f>(M28*Koldioxid+N28*Metan+AA28*Lustgas)+(AD28*Koldioxid+AE28*Metan+AF28*Lustgas)</f>
        <v>2701.317</v>
      </c>
      <c r="AA28" s="276">
        <v>3.5000000000000003E-2</v>
      </c>
      <c r="AD28" s="276">
        <v>205</v>
      </c>
      <c r="AE28" s="276">
        <v>1.1499999999999999</v>
      </c>
      <c r="AF28" s="276">
        <v>0.04</v>
      </c>
      <c r="AN28" s="276" t="s">
        <v>21</v>
      </c>
    </row>
    <row r="29" spans="1:40" x14ac:dyDescent="0.25">
      <c r="A29" s="276" t="s">
        <v>404</v>
      </c>
      <c r="B29" s="276" t="s">
        <v>39</v>
      </c>
      <c r="C29" s="276">
        <v>24</v>
      </c>
      <c r="E29" s="276">
        <v>32.94</v>
      </c>
      <c r="F29" s="276">
        <v>884</v>
      </c>
      <c r="M29" s="273">
        <v>0</v>
      </c>
      <c r="N29" s="276">
        <v>0</v>
      </c>
      <c r="V29" s="276">
        <f>0+(AD29*Koldioxid+AE29*Metan+AF29*Lustgas)</f>
        <v>780.49024199999997</v>
      </c>
      <c r="AD29" s="276">
        <f>'Indata-Transportbränslen'!C104*Indata!E29</f>
        <v>566.56799999999998</v>
      </c>
      <c r="AE29" s="276">
        <f>'Indata-Transportbränslen'!C106*Indata!E29</f>
        <v>0.39857399999999998</v>
      </c>
      <c r="AF29" s="276">
        <f>'Indata-Transportbränslen'!C107*E29</f>
        <v>0.69174000000000002</v>
      </c>
      <c r="AN29" s="276" t="s">
        <v>21</v>
      </c>
    </row>
    <row r="30" spans="1:40" x14ac:dyDescent="0.25">
      <c r="A30" s="276" t="s">
        <v>542</v>
      </c>
      <c r="M30" s="273">
        <v>2615</v>
      </c>
      <c r="N30" s="276">
        <v>2.06E-2</v>
      </c>
      <c r="V30" s="276">
        <f>(M30*Koldioxid+N30*Metan+AA30*Lustgas)+(AD30*Koldioxid+AE30*Metan+AF30*Lustgas)</f>
        <v>2876.2694000000001</v>
      </c>
      <c r="AA30" s="276">
        <v>3.6700000000000003E-2</v>
      </c>
      <c r="AD30" s="276">
        <v>222</v>
      </c>
      <c r="AE30" s="276">
        <v>1.19</v>
      </c>
      <c r="AF30" s="276">
        <v>1.9E-3</v>
      </c>
    </row>
    <row r="31" spans="1:40" x14ac:dyDescent="0.25">
      <c r="B31" s="276" t="s">
        <v>141</v>
      </c>
      <c r="C31" s="276">
        <f>'Indata-Transportbränslen'!P50</f>
        <v>77.333216001842857</v>
      </c>
      <c r="M31" s="273"/>
      <c r="AN31" s="276" t="s">
        <v>21</v>
      </c>
    </row>
    <row r="32" spans="1:40" x14ac:dyDescent="0.25">
      <c r="B32" s="276" t="s">
        <v>39</v>
      </c>
      <c r="M32" s="273"/>
      <c r="AN32" s="276" t="s">
        <v>21</v>
      </c>
    </row>
    <row r="33" spans="1:40" x14ac:dyDescent="0.25">
      <c r="A33" s="276" t="s">
        <v>40</v>
      </c>
      <c r="B33" s="276" t="s">
        <v>40</v>
      </c>
      <c r="E33" s="276">
        <v>22.7</v>
      </c>
      <c r="F33" s="276">
        <v>783</v>
      </c>
      <c r="M33" s="273">
        <f>'Indata-Transportbränslen'!F187*Indata!E33</f>
        <v>413.39518221124143</v>
      </c>
      <c r="N33" s="276" t="s">
        <v>400</v>
      </c>
      <c r="V33" s="276">
        <f>(M33*Koldioxid+0+0)+(AD33*Koldioxid+AE33*Metan+AF33*Lustgas)</f>
        <v>787.12870091529237</v>
      </c>
      <c r="AC33" s="276" t="s">
        <v>400</v>
      </c>
      <c r="AD33" s="276">
        <f>'Indata-Transportbränslen'!D187*Indata!E33</f>
        <v>230.47340543897957</v>
      </c>
      <c r="AE33" s="276">
        <f>'Indata-Transportbränslen'!D189*Indata!E33</f>
        <v>0.53912497066263376</v>
      </c>
      <c r="AF33" s="276">
        <f>'Indata-Transportbränslen'!D190*Indata!E33</f>
        <v>0.44209540182375268</v>
      </c>
      <c r="AN33" s="276" t="s">
        <v>21</v>
      </c>
    </row>
    <row r="34" spans="1:40" x14ac:dyDescent="0.25">
      <c r="A34" s="276" t="s">
        <v>419</v>
      </c>
      <c r="B34" s="276" t="s">
        <v>477</v>
      </c>
      <c r="C34" s="276">
        <f>'Indata-Transportbränslen'!C163+'Indata-Transportbränslen'!E163</f>
        <v>32.965888267260723</v>
      </c>
      <c r="E34" s="292">
        <v>36.9</v>
      </c>
      <c r="F34" s="276">
        <v>0.71</v>
      </c>
      <c r="M34" s="293">
        <f>'Indata-Transportbränslen'!E147*Indata!E34</f>
        <v>869.48239155672809</v>
      </c>
      <c r="N34" s="292">
        <f>'Indata-Transportbränslen'!E149*Indata!E34</f>
        <v>0.19077300000000003</v>
      </c>
      <c r="V34" s="292">
        <f>(M34*Koldioxid+N34*Metan+0)+(AD34*Koldioxid+AE34*Metan+AF34*Lustgas)</f>
        <v>1216.4412770619206</v>
      </c>
      <c r="AD34" s="292">
        <f>'Indata-Transportbränslen'!C147*Indata!E34</f>
        <v>186.01600705318899</v>
      </c>
      <c r="AE34" s="292">
        <f>'Indata-Transportbränslen'!C149*Indata!E34</f>
        <v>6.4543597901919743</v>
      </c>
      <c r="AF34" s="292">
        <f>'Indata-Transportbränslen'!C150*E34</f>
        <v>2.7381163099960013E-2</v>
      </c>
    </row>
    <row r="35" spans="1:40" x14ac:dyDescent="0.25">
      <c r="A35" s="281" t="s">
        <v>298</v>
      </c>
      <c r="B35" s="276" t="s">
        <v>53</v>
      </c>
      <c r="C35" s="276">
        <f>'Indata-Transportbränslen'!P8</f>
        <v>88.148127230978019</v>
      </c>
      <c r="D35" s="276">
        <v>40960</v>
      </c>
      <c r="F35" s="276">
        <v>965</v>
      </c>
      <c r="M35" s="273"/>
      <c r="AN35" s="276" t="s">
        <v>109</v>
      </c>
    </row>
    <row r="36" spans="1:40" x14ac:dyDescent="0.25">
      <c r="A36" s="281" t="s">
        <v>299</v>
      </c>
      <c r="B36" s="276" t="s">
        <v>301</v>
      </c>
      <c r="C36" s="276">
        <f>'Indata-Transportbränslen'!Q8</f>
        <v>83.822745570643633</v>
      </c>
      <c r="D36" s="276">
        <v>42650</v>
      </c>
      <c r="M36" s="273"/>
      <c r="AN36" s="276" t="s">
        <v>109</v>
      </c>
    </row>
    <row r="37" spans="1:40" x14ac:dyDescent="0.25">
      <c r="A37" s="281" t="s">
        <v>300</v>
      </c>
      <c r="B37" s="276" t="s">
        <v>54</v>
      </c>
      <c r="C37" s="276">
        <f>'Indata-Transportbränslen'!R8</f>
        <v>72.529283154947777</v>
      </c>
      <c r="AN37" s="276" t="s">
        <v>109</v>
      </c>
    </row>
    <row r="38" spans="1:40" x14ac:dyDescent="0.25">
      <c r="A38" s="281" t="s">
        <v>303</v>
      </c>
      <c r="B38" s="276" t="s">
        <v>302</v>
      </c>
      <c r="C38" s="276">
        <v>86.5</v>
      </c>
      <c r="D38" s="276">
        <v>42190</v>
      </c>
    </row>
    <row r="39" spans="1:40" x14ac:dyDescent="0.25">
      <c r="A39" s="281" t="s">
        <v>379</v>
      </c>
      <c r="C39" s="276">
        <f>86.5*1.1</f>
        <v>95.15</v>
      </c>
      <c r="D39" s="292">
        <f>AVERAGE(D35:D38)</f>
        <v>41933.333333333336</v>
      </c>
    </row>
    <row r="40" spans="1:40" x14ac:dyDescent="0.25">
      <c r="B40" s="276" t="s">
        <v>41</v>
      </c>
      <c r="C40" s="276">
        <v>28</v>
      </c>
      <c r="AN40" s="276" t="s">
        <v>43</v>
      </c>
    </row>
    <row r="41" spans="1:40" x14ac:dyDescent="0.25">
      <c r="AN41" s="276" t="s">
        <v>43</v>
      </c>
    </row>
    <row r="43" spans="1:40" x14ac:dyDescent="0.25">
      <c r="A43" s="279" t="s">
        <v>31</v>
      </c>
      <c r="B43" s="279" t="s">
        <v>31</v>
      </c>
    </row>
    <row r="44" spans="1:40" x14ac:dyDescent="0.25">
      <c r="A44" s="276" t="s">
        <v>3</v>
      </c>
      <c r="B44" s="282">
        <v>1</v>
      </c>
    </row>
    <row r="45" spans="1:40" x14ac:dyDescent="0.25">
      <c r="A45" s="276" t="s">
        <v>4</v>
      </c>
      <c r="B45" s="282">
        <v>23</v>
      </c>
    </row>
    <row r="46" spans="1:40" x14ac:dyDescent="0.25">
      <c r="A46" s="276" t="s">
        <v>5</v>
      </c>
      <c r="B46" s="282">
        <v>296</v>
      </c>
    </row>
    <row r="48" spans="1:40" x14ac:dyDescent="0.25">
      <c r="A48" s="279" t="s">
        <v>19</v>
      </c>
      <c r="B48" s="279" t="s">
        <v>19</v>
      </c>
    </row>
    <row r="49" spans="1:40" x14ac:dyDescent="0.25">
      <c r="A49" s="276" t="s">
        <v>192</v>
      </c>
      <c r="B49" s="276" t="s">
        <v>58</v>
      </c>
      <c r="D49" s="276">
        <f>Metan</f>
        <v>23</v>
      </c>
      <c r="G49" s="273">
        <v>15</v>
      </c>
      <c r="H49" s="276">
        <v>0.35</v>
      </c>
      <c r="I49" s="276">
        <v>0.20100000000000001</v>
      </c>
      <c r="J49" s="276">
        <v>0.29399999999999998</v>
      </c>
      <c r="M49" s="276">
        <v>2615</v>
      </c>
      <c r="N49" s="276">
        <v>2.6700000000000002E-2</v>
      </c>
      <c r="AN49" s="276" t="s">
        <v>56</v>
      </c>
    </row>
    <row r="50" spans="1:40" x14ac:dyDescent="0.25">
      <c r="A50" s="276" t="s">
        <v>193</v>
      </c>
      <c r="B50" s="276" t="s">
        <v>59</v>
      </c>
      <c r="G50" s="273">
        <v>33</v>
      </c>
      <c r="H50" s="276">
        <v>0.5</v>
      </c>
      <c r="I50" s="276">
        <v>0.246</v>
      </c>
      <c r="J50" s="276">
        <v>0.44500000000000001</v>
      </c>
      <c r="M50" s="276">
        <v>2615</v>
      </c>
      <c r="N50" s="276">
        <v>2.06E-2</v>
      </c>
      <c r="AN50" s="276" t="s">
        <v>57</v>
      </c>
    </row>
    <row r="51" spans="1:40" s="283" customFormat="1" x14ac:dyDescent="0.25">
      <c r="A51" s="283" t="s">
        <v>378</v>
      </c>
      <c r="B51" s="283" t="s">
        <v>184</v>
      </c>
      <c r="G51" s="274">
        <f>AVERAGE(G49:G50)</f>
        <v>24</v>
      </c>
      <c r="H51" s="283">
        <f>AVERAGE(H49:H50)</f>
        <v>0.42499999999999999</v>
      </c>
      <c r="I51" s="283">
        <f>AVERAGE(I49:I50)*1.4</f>
        <v>0.31290000000000001</v>
      </c>
      <c r="J51" s="283">
        <f>AVERAGE(J49:J50)*1.4</f>
        <v>0.51729999999999998</v>
      </c>
      <c r="M51" s="283">
        <f>AVERAGE(M49:M50)</f>
        <v>2615</v>
      </c>
      <c r="N51" s="283">
        <f>AVERAGE(N49:N50)</f>
        <v>2.3650000000000001E-2</v>
      </c>
    </row>
    <row r="52" spans="1:40" s="283" customFormat="1" x14ac:dyDescent="0.25">
      <c r="G52" s="274"/>
    </row>
    <row r="53" spans="1:40" x14ac:dyDescent="0.25">
      <c r="A53" s="284" t="s">
        <v>254</v>
      </c>
      <c r="B53" s="284" t="s">
        <v>254</v>
      </c>
      <c r="G53" s="273"/>
    </row>
    <row r="54" spans="1:40" x14ac:dyDescent="0.25">
      <c r="A54" s="283" t="s">
        <v>258</v>
      </c>
      <c r="B54" s="276" t="s">
        <v>10</v>
      </c>
      <c r="G54" s="273">
        <v>5900</v>
      </c>
      <c r="H54" s="276">
        <v>0.5</v>
      </c>
      <c r="K54" s="290">
        <v>2.4E-2</v>
      </c>
      <c r="L54" s="273">
        <v>3178</v>
      </c>
      <c r="AB54" s="276" t="s">
        <v>52</v>
      </c>
      <c r="AN54" s="276" t="s">
        <v>55</v>
      </c>
    </row>
    <row r="55" spans="1:40" x14ac:dyDescent="0.25">
      <c r="A55" s="283" t="s">
        <v>259</v>
      </c>
      <c r="B55" s="276" t="s">
        <v>11</v>
      </c>
      <c r="G55" s="273">
        <v>110000</v>
      </c>
      <c r="H55" s="276">
        <v>0.55000000000000004</v>
      </c>
      <c r="K55" s="276">
        <v>0.14499999999999999</v>
      </c>
      <c r="L55" s="273">
        <v>3179</v>
      </c>
      <c r="AN55" s="276" t="s">
        <v>55</v>
      </c>
    </row>
    <row r="56" spans="1:40" x14ac:dyDescent="0.25">
      <c r="A56" s="283" t="s">
        <v>260</v>
      </c>
      <c r="B56" s="276" t="s">
        <v>12</v>
      </c>
      <c r="G56" s="273">
        <v>1046</v>
      </c>
      <c r="H56" s="276">
        <v>0.5</v>
      </c>
      <c r="K56" s="276">
        <v>2E-3</v>
      </c>
      <c r="L56" s="273">
        <v>3177</v>
      </c>
      <c r="AN56" s="276" t="s">
        <v>55</v>
      </c>
    </row>
    <row r="57" spans="1:40" x14ac:dyDescent="0.25">
      <c r="B57" s="276" t="s">
        <v>180</v>
      </c>
      <c r="G57" s="273"/>
      <c r="L57" s="273"/>
      <c r="P57" s="276">
        <v>1.8520000000000001</v>
      </c>
    </row>
    <row r="58" spans="1:40" x14ac:dyDescent="0.25">
      <c r="G58" s="273"/>
      <c r="L58" s="273"/>
    </row>
    <row r="59" spans="1:40" x14ac:dyDescent="0.25">
      <c r="A59" s="279" t="s">
        <v>255</v>
      </c>
      <c r="B59" s="279" t="s">
        <v>255</v>
      </c>
      <c r="G59" s="273"/>
      <c r="L59" s="273"/>
      <c r="AN59" s="276" t="s">
        <v>253</v>
      </c>
    </row>
    <row r="60" spans="1:40" x14ac:dyDescent="0.25">
      <c r="A60" s="276" t="s">
        <v>247</v>
      </c>
      <c r="B60" s="283"/>
      <c r="G60" s="273">
        <v>110000</v>
      </c>
      <c r="H60" s="276">
        <v>0.55000000000000004</v>
      </c>
      <c r="K60" s="276">
        <v>0.14499999999999999</v>
      </c>
      <c r="L60" s="273">
        <v>3179</v>
      </c>
      <c r="U60" s="276">
        <f>4555*1.852</f>
        <v>8435.86</v>
      </c>
    </row>
    <row r="61" spans="1:40" x14ac:dyDescent="0.25">
      <c r="A61" s="276" t="s">
        <v>248</v>
      </c>
      <c r="B61" s="283"/>
      <c r="G61" s="273">
        <v>110000</v>
      </c>
      <c r="H61" s="276">
        <v>0.55000000000000004</v>
      </c>
      <c r="K61" s="276">
        <v>0.14499999999999999</v>
      </c>
      <c r="L61" s="273">
        <v>3179</v>
      </c>
      <c r="U61" s="273">
        <f>3275*1.852</f>
        <v>6065.3</v>
      </c>
    </row>
    <row r="62" spans="1:40" x14ac:dyDescent="0.25">
      <c r="A62" s="276" t="s">
        <v>249</v>
      </c>
      <c r="B62" s="283"/>
      <c r="G62" s="273">
        <v>110000</v>
      </c>
      <c r="H62" s="276">
        <v>0.55000000000000004</v>
      </c>
      <c r="K62" s="276">
        <v>0.14499999999999999</v>
      </c>
      <c r="L62" s="273">
        <v>3179</v>
      </c>
      <c r="U62" s="273">
        <f>7982*1.852</f>
        <v>14782.664000000001</v>
      </c>
    </row>
    <row r="63" spans="1:40" x14ac:dyDescent="0.25">
      <c r="A63" s="276" t="s">
        <v>250</v>
      </c>
      <c r="B63" s="283"/>
      <c r="G63" s="273">
        <v>110000</v>
      </c>
      <c r="H63" s="276">
        <v>0.55000000000000004</v>
      </c>
      <c r="K63" s="276">
        <v>0.14499999999999999</v>
      </c>
      <c r="L63" s="273">
        <v>3179</v>
      </c>
      <c r="U63" s="273">
        <f>5423*1.852</f>
        <v>10043.396000000001</v>
      </c>
    </row>
    <row r="64" spans="1:40" x14ac:dyDescent="0.25">
      <c r="A64" s="276" t="s">
        <v>251</v>
      </c>
      <c r="B64" s="283"/>
      <c r="G64" s="273">
        <v>110000</v>
      </c>
      <c r="H64" s="276">
        <v>0.55000000000000004</v>
      </c>
      <c r="K64" s="276">
        <v>0.14499999999999999</v>
      </c>
      <c r="L64" s="273">
        <v>3179</v>
      </c>
      <c r="U64" s="273">
        <f>6142*1.852</f>
        <v>11374.984</v>
      </c>
    </row>
    <row r="65" spans="1:40" x14ac:dyDescent="0.25">
      <c r="A65" s="276" t="s">
        <v>290</v>
      </c>
      <c r="G65" s="273">
        <v>110000</v>
      </c>
      <c r="H65" s="276">
        <v>0.55000000000000004</v>
      </c>
      <c r="K65" s="276">
        <v>0.14499999999999999</v>
      </c>
      <c r="L65" s="273">
        <v>3179</v>
      </c>
      <c r="U65" s="273">
        <f>3927*1.852</f>
        <v>7272.8040000000001</v>
      </c>
    </row>
    <row r="66" spans="1:40" x14ac:dyDescent="0.25">
      <c r="A66" s="276" t="s">
        <v>291</v>
      </c>
      <c r="G66" s="273">
        <v>110000</v>
      </c>
      <c r="H66" s="276">
        <v>0.55000000000000004</v>
      </c>
      <c r="K66" s="276">
        <v>0.14499999999999999</v>
      </c>
      <c r="L66" s="273">
        <v>3179</v>
      </c>
      <c r="U66" s="273">
        <f>363*1.852</f>
        <v>672.27600000000007</v>
      </c>
    </row>
    <row r="67" spans="1:40" x14ac:dyDescent="0.25">
      <c r="A67" s="276" t="s">
        <v>292</v>
      </c>
      <c r="G67" s="273">
        <v>110000</v>
      </c>
      <c r="H67" s="276">
        <v>0.55000000000000004</v>
      </c>
      <c r="K67" s="276">
        <v>0.14499999999999999</v>
      </c>
      <c r="L67" s="273">
        <v>3179</v>
      </c>
      <c r="U67" s="273">
        <f>5553*1.852</f>
        <v>10284.156000000001</v>
      </c>
    </row>
    <row r="68" spans="1:40" x14ac:dyDescent="0.25">
      <c r="A68" s="276" t="s">
        <v>383</v>
      </c>
      <c r="G68" s="273">
        <v>110000</v>
      </c>
      <c r="H68" s="276">
        <v>0.55000000000000004</v>
      </c>
      <c r="K68" s="276">
        <v>0.14499999999999999</v>
      </c>
      <c r="L68" s="273">
        <v>3179</v>
      </c>
      <c r="U68" s="273"/>
    </row>
    <row r="69" spans="1:40" x14ac:dyDescent="0.25">
      <c r="G69" s="273"/>
      <c r="L69" s="273"/>
      <c r="U69" s="273"/>
    </row>
    <row r="70" spans="1:40" x14ac:dyDescent="0.25">
      <c r="A70" s="276" t="s">
        <v>256</v>
      </c>
      <c r="B70" s="276" t="s">
        <v>256</v>
      </c>
      <c r="G70" s="273">
        <v>5900</v>
      </c>
      <c r="H70" s="276">
        <v>0.5</v>
      </c>
      <c r="K70" s="276">
        <v>2.4E-2</v>
      </c>
      <c r="L70" s="273">
        <v>3178</v>
      </c>
      <c r="U70" s="273">
        <v>1431.6</v>
      </c>
      <c r="AN70" s="276" t="s">
        <v>257</v>
      </c>
    </row>
    <row r="71" spans="1:40" x14ac:dyDescent="0.25">
      <c r="U71" s="273"/>
    </row>
    <row r="72" spans="1:40" x14ac:dyDescent="0.25">
      <c r="U72" s="273"/>
    </row>
    <row r="73" spans="1:40" x14ac:dyDescent="0.25">
      <c r="A73" s="279" t="s">
        <v>241</v>
      </c>
      <c r="B73" s="279" t="s">
        <v>416</v>
      </c>
    </row>
    <row r="74" spans="1:40" x14ac:dyDescent="0.25">
      <c r="A74" s="279"/>
      <c r="B74" s="276" t="s">
        <v>183</v>
      </c>
      <c r="C74" s="276">
        <f>'Beräkning lagring'!N39</f>
        <v>4.9807169129616032E-2</v>
      </c>
      <c r="S74" s="273">
        <v>9047.7868423386044</v>
      </c>
      <c r="T74" s="273">
        <v>141688341.95102257</v>
      </c>
    </row>
    <row r="75" spans="1:40" x14ac:dyDescent="0.25">
      <c r="B75" s="276" t="s">
        <v>531</v>
      </c>
      <c r="C75" s="276">
        <f>'Beräkning lagring'!K39</f>
        <v>1.456345523602821E-2</v>
      </c>
      <c r="S75" s="273">
        <v>9047.7868423386044</v>
      </c>
      <c r="T75" s="273">
        <v>141688341.95102257</v>
      </c>
    </row>
    <row r="76" spans="1:40" x14ac:dyDescent="0.25">
      <c r="B76" s="276" t="s">
        <v>231</v>
      </c>
      <c r="C76" s="276">
        <f>'Beräkning lagring'!N39</f>
        <v>4.9807169129616032E-2</v>
      </c>
      <c r="S76" s="273">
        <v>9047.7868423386044</v>
      </c>
      <c r="T76" s="273">
        <v>141688341.95102257</v>
      </c>
    </row>
    <row r="77" spans="1:40" x14ac:dyDescent="0.25">
      <c r="B77" s="276" t="s">
        <v>232</v>
      </c>
      <c r="C77" s="276">
        <f>'Beräkning lagring'!L39</f>
        <v>3.1788043447602268E-3</v>
      </c>
      <c r="S77" s="273">
        <v>9047.7868423386044</v>
      </c>
      <c r="T77" s="273">
        <v>141688341.95102257</v>
      </c>
    </row>
    <row r="78" spans="1:40" x14ac:dyDescent="0.25">
      <c r="B78" s="276" t="s">
        <v>233</v>
      </c>
      <c r="C78" s="276">
        <f>'Beräkning lagring'!M39</f>
        <v>4.7299824592128619E-3</v>
      </c>
      <c r="S78" s="273">
        <v>9047.7868423386044</v>
      </c>
      <c r="T78" s="273">
        <v>141688341.95102257</v>
      </c>
    </row>
    <row r="79" spans="1:40" x14ac:dyDescent="0.25">
      <c r="A79" s="279" t="s">
        <v>242</v>
      </c>
      <c r="B79" s="279" t="s">
        <v>242</v>
      </c>
      <c r="S79" s="273"/>
    </row>
    <row r="80" spans="1:40" x14ac:dyDescent="0.25">
      <c r="B80" s="276" t="s">
        <v>183</v>
      </c>
      <c r="C80" s="276">
        <f>'Beräkning lagring'!N37</f>
        <v>8.4049597906227042E-2</v>
      </c>
      <c r="S80" s="273">
        <v>2010.6192982974676</v>
      </c>
    </row>
    <row r="81" spans="1:19" x14ac:dyDescent="0.25">
      <c r="B81" s="276" t="s">
        <v>531</v>
      </c>
      <c r="C81" s="276">
        <f>'Beräkning lagring'!K37</f>
        <v>2.4575830710797605E-2</v>
      </c>
      <c r="S81" s="273">
        <v>2010.6192982974676</v>
      </c>
    </row>
    <row r="82" spans="1:19" x14ac:dyDescent="0.25">
      <c r="B82" s="276" t="s">
        <v>231</v>
      </c>
      <c r="C82" s="276">
        <f>'Beräkning lagring'!N37</f>
        <v>8.4049597906227042E-2</v>
      </c>
      <c r="S82" s="273">
        <v>2010.6192982974676</v>
      </c>
    </row>
    <row r="83" spans="1:19" x14ac:dyDescent="0.25">
      <c r="B83" s="276" t="s">
        <v>232</v>
      </c>
      <c r="C83" s="276">
        <f>'Beräkning lagring'!L37</f>
        <v>5.3642323317828833E-3</v>
      </c>
      <c r="S83" s="273">
        <v>2010.6192982974676</v>
      </c>
    </row>
    <row r="84" spans="1:19" x14ac:dyDescent="0.25">
      <c r="B84" s="276" t="s">
        <v>233</v>
      </c>
      <c r="C84" s="276">
        <f>'Beräkning lagring'!M37</f>
        <v>7.9818453999217047E-3</v>
      </c>
      <c r="S84" s="273">
        <v>2010.6192982974676</v>
      </c>
    </row>
    <row r="85" spans="1:19" x14ac:dyDescent="0.25">
      <c r="A85" s="279" t="s">
        <v>238</v>
      </c>
      <c r="B85" s="279" t="s">
        <v>238</v>
      </c>
      <c r="S85" s="273"/>
    </row>
    <row r="86" spans="1:19" x14ac:dyDescent="0.25">
      <c r="B86" s="276" t="s">
        <v>183</v>
      </c>
      <c r="C86" s="276">
        <f>'Beräkning lagring'!N38</f>
        <v>3.3757093278016827E-2</v>
      </c>
      <c r="S86" s="273">
        <v>30054.046120566753</v>
      </c>
    </row>
    <row r="87" spans="1:19" x14ac:dyDescent="0.25">
      <c r="B87" s="276" t="s">
        <v>531</v>
      </c>
      <c r="C87" s="276">
        <f>'Beräkning lagring'!K38</f>
        <v>9.8704649439813868E-3</v>
      </c>
      <c r="S87" s="273">
        <v>30054.046120566753</v>
      </c>
    </row>
    <row r="88" spans="1:19" x14ac:dyDescent="0.25">
      <c r="B88" s="276" t="s">
        <v>231</v>
      </c>
      <c r="C88" s="276">
        <f>'Beräkning lagring'!N38</f>
        <v>3.3757093278016827E-2</v>
      </c>
      <c r="S88" s="273">
        <v>30054.046120566753</v>
      </c>
    </row>
    <row r="89" spans="1:19" x14ac:dyDescent="0.25">
      <c r="B89" s="276" t="s">
        <v>232</v>
      </c>
      <c r="C89" s="276">
        <f>'Beräkning lagring'!L38</f>
        <v>2.154452795728754E-3</v>
      </c>
      <c r="S89" s="273">
        <v>30054.046120566753</v>
      </c>
    </row>
    <row r="90" spans="1:19" x14ac:dyDescent="0.25">
      <c r="B90" s="276" t="s">
        <v>233</v>
      </c>
      <c r="C90" s="276">
        <f>'Beräkning lagring'!M38</f>
        <v>3.205772620072273E-3</v>
      </c>
      <c r="S90" s="273">
        <v>30054.046120566753</v>
      </c>
    </row>
    <row r="91" spans="1:19" x14ac:dyDescent="0.25">
      <c r="B91" s="279" t="s">
        <v>243</v>
      </c>
      <c r="S91" s="273"/>
    </row>
    <row r="92" spans="1:19" x14ac:dyDescent="0.25">
      <c r="B92" s="276" t="s">
        <v>183</v>
      </c>
      <c r="C92" s="276">
        <f>'Beräkning lagring'!N40</f>
        <v>3.2482936388880022E-2</v>
      </c>
    </row>
    <row r="93" spans="1:19" x14ac:dyDescent="0.25">
      <c r="B93" s="276" t="s">
        <v>231</v>
      </c>
      <c r="C93" s="276">
        <f>'Beräkning lagring'!N40</f>
        <v>3.2482936388880022E-2</v>
      </c>
    </row>
    <row r="94" spans="1:19" x14ac:dyDescent="0.25">
      <c r="B94" s="276" t="s">
        <v>232</v>
      </c>
      <c r="C94" s="276">
        <f>'Beräkning lagring'!L40</f>
        <v>2.0731332683218873E-3</v>
      </c>
    </row>
    <row r="95" spans="1:19" x14ac:dyDescent="0.25">
      <c r="B95" s="276" t="s">
        <v>233</v>
      </c>
      <c r="C95" s="276">
        <f>'Beräkning lagring'!M40</f>
        <v>3.0847711690518672E-3</v>
      </c>
    </row>
    <row r="97" spans="1:40" x14ac:dyDescent="0.25">
      <c r="A97" s="279" t="s">
        <v>44</v>
      </c>
      <c r="B97" s="279" t="s">
        <v>44</v>
      </c>
    </row>
    <row r="98" spans="1:40" x14ac:dyDescent="0.25">
      <c r="B98" s="276" t="s">
        <v>45</v>
      </c>
      <c r="O98" s="276">
        <v>14</v>
      </c>
      <c r="Q98" s="276">
        <v>1.4</v>
      </c>
      <c r="R98" s="276">
        <v>2000</v>
      </c>
    </row>
    <row r="99" spans="1:40" x14ac:dyDescent="0.25">
      <c r="B99" s="276" t="s">
        <v>46</v>
      </c>
      <c r="O99" s="276">
        <v>19</v>
      </c>
      <c r="Q99" s="276">
        <v>2.1</v>
      </c>
      <c r="R99" s="276">
        <v>3000</v>
      </c>
    </row>
    <row r="100" spans="1:40" x14ac:dyDescent="0.25">
      <c r="B100" s="276" t="s">
        <v>47</v>
      </c>
      <c r="O100" s="276">
        <v>13</v>
      </c>
      <c r="Q100" s="276">
        <v>3.5</v>
      </c>
      <c r="R100" s="276">
        <v>4850</v>
      </c>
    </row>
    <row r="103" spans="1:40" x14ac:dyDescent="0.25">
      <c r="A103" s="279" t="s">
        <v>376</v>
      </c>
    </row>
    <row r="104" spans="1:40" x14ac:dyDescent="0.25">
      <c r="A104" s="276" t="s">
        <v>16</v>
      </c>
      <c r="AN104" s="276" t="s">
        <v>426</v>
      </c>
    </row>
    <row r="105" spans="1:40" x14ac:dyDescent="0.25">
      <c r="A105" s="276" t="s">
        <v>146</v>
      </c>
      <c r="AN105" s="276" t="s">
        <v>375</v>
      </c>
    </row>
    <row r="106" spans="1:40" x14ac:dyDescent="0.25">
      <c r="A106" s="276" t="s">
        <v>572</v>
      </c>
      <c r="C106" s="276">
        <v>14</v>
      </c>
      <c r="AG106" s="276">
        <v>49</v>
      </c>
      <c r="AN106" s="276" t="s">
        <v>426</v>
      </c>
    </row>
    <row r="107" spans="1:40" x14ac:dyDescent="0.25">
      <c r="A107" s="276" t="s">
        <v>421</v>
      </c>
      <c r="C107" s="276">
        <v>20.100000000000001</v>
      </c>
      <c r="AG107" s="276">
        <v>22</v>
      </c>
      <c r="AN107" s="276" t="s">
        <v>426</v>
      </c>
    </row>
    <row r="108" spans="1:40" x14ac:dyDescent="0.25">
      <c r="A108" s="276" t="s">
        <v>422</v>
      </c>
      <c r="C108" s="276">
        <v>29</v>
      </c>
      <c r="AG108" s="276">
        <v>22</v>
      </c>
    </row>
    <row r="109" spans="1:40" x14ac:dyDescent="0.25">
      <c r="A109" s="276" t="s">
        <v>420</v>
      </c>
      <c r="C109" s="276">
        <v>19</v>
      </c>
      <c r="AG109" s="276">
        <v>26</v>
      </c>
    </row>
    <row r="111" spans="1:40" x14ac:dyDescent="0.25">
      <c r="A111" s="279" t="s">
        <v>334</v>
      </c>
    </row>
    <row r="112" spans="1:40" x14ac:dyDescent="0.25">
      <c r="A112" s="276" t="s">
        <v>589</v>
      </c>
      <c r="W112" s="276">
        <v>2827.0048999999999</v>
      </c>
      <c r="X112" s="276">
        <v>8.6788000000000007</v>
      </c>
      <c r="Y112" s="276">
        <v>9.6417999999999999</v>
      </c>
      <c r="AN112" s="276" t="s">
        <v>347</v>
      </c>
    </row>
    <row r="113" spans="1:40" x14ac:dyDescent="0.25">
      <c r="A113" s="276" t="s">
        <v>592</v>
      </c>
      <c r="W113" s="276">
        <v>964.88649999999996</v>
      </c>
      <c r="X113" s="276">
        <v>1.331</v>
      </c>
      <c r="Y113" s="276">
        <v>5.1499999999999997E-2</v>
      </c>
      <c r="AN113" s="276" t="s">
        <v>347</v>
      </c>
    </row>
    <row r="114" spans="1:40" x14ac:dyDescent="0.25">
      <c r="A114" s="276" t="s">
        <v>591</v>
      </c>
      <c r="W114" s="276">
        <v>536.31089999999995</v>
      </c>
      <c r="X114" s="276">
        <v>1.5709</v>
      </c>
      <c r="Y114" s="276">
        <v>1.23E-2</v>
      </c>
      <c r="AN114" s="276" t="s">
        <v>347</v>
      </c>
    </row>
    <row r="115" spans="1:40" x14ac:dyDescent="0.25">
      <c r="A115" s="276" t="s">
        <v>590</v>
      </c>
      <c r="W115" s="276">
        <v>119.116</v>
      </c>
      <c r="X115" s="276">
        <v>0.21590000000000001</v>
      </c>
      <c r="Y115" s="276">
        <v>1.83E-2</v>
      </c>
      <c r="AN115" s="276" t="s">
        <v>347</v>
      </c>
    </row>
    <row r="116" spans="1:40" x14ac:dyDescent="0.25">
      <c r="A116" s="276" t="s">
        <v>593</v>
      </c>
      <c r="W116" s="276">
        <v>9886.5020000000004</v>
      </c>
      <c r="X116" s="276">
        <v>25.527100000000001</v>
      </c>
      <c r="Y116" s="276">
        <v>1.6814</v>
      </c>
      <c r="AN116" s="276" t="s">
        <v>347</v>
      </c>
    </row>
    <row r="117" spans="1:40" x14ac:dyDescent="0.25">
      <c r="A117" s="276" t="s">
        <v>337</v>
      </c>
      <c r="W117" s="276">
        <v>0</v>
      </c>
      <c r="X117" s="276">
        <v>0</v>
      </c>
      <c r="Y117" s="276">
        <v>0</v>
      </c>
      <c r="AN117" s="276" t="s">
        <v>347</v>
      </c>
    </row>
    <row r="118" spans="1:40" x14ac:dyDescent="0.25">
      <c r="A118" s="276" t="s">
        <v>338</v>
      </c>
      <c r="W118" s="276">
        <v>412.08109999999999</v>
      </c>
      <c r="X118" s="276">
        <v>0.91269999999999996</v>
      </c>
      <c r="Y118" s="276">
        <v>1.0027999999999999</v>
      </c>
      <c r="AN118" s="276" t="s">
        <v>347</v>
      </c>
    </row>
    <row r="119" spans="1:40" x14ac:dyDescent="0.25">
      <c r="A119" s="276" t="s">
        <v>339</v>
      </c>
      <c r="W119" s="276">
        <v>0</v>
      </c>
      <c r="X119" s="276">
        <v>0</v>
      </c>
      <c r="Y119" s="276">
        <v>0</v>
      </c>
      <c r="AN119" s="276" t="s">
        <v>347</v>
      </c>
    </row>
    <row r="120" spans="1:40" x14ac:dyDescent="0.25">
      <c r="A120" s="276" t="s">
        <v>340</v>
      </c>
      <c r="W120" s="276">
        <v>2187.7141000000001</v>
      </c>
      <c r="X120" s="276">
        <v>4.6003999999999996</v>
      </c>
      <c r="Y120" s="276">
        <v>4.2119999999999997</v>
      </c>
      <c r="AN120" s="276" t="s">
        <v>347</v>
      </c>
    </row>
    <row r="121" spans="1:40" x14ac:dyDescent="0.25">
      <c r="A121" s="276" t="s">
        <v>341</v>
      </c>
      <c r="W121" s="276">
        <v>1.6397999999999999</v>
      </c>
      <c r="X121" s="276">
        <v>1E-4</v>
      </c>
      <c r="Y121" s="276">
        <v>0</v>
      </c>
      <c r="AN121" s="276" t="s">
        <v>347</v>
      </c>
    </row>
    <row r="122" spans="1:40" x14ac:dyDescent="0.25">
      <c r="A122" s="276" t="s">
        <v>342</v>
      </c>
      <c r="W122" s="276">
        <v>412.08109999999999</v>
      </c>
      <c r="X122" s="276">
        <v>0.91269999999999996</v>
      </c>
      <c r="Y122" s="276">
        <v>1.0027999999999999</v>
      </c>
      <c r="AN122" s="276" t="s">
        <v>347</v>
      </c>
    </row>
    <row r="123" spans="1:40" x14ac:dyDescent="0.25">
      <c r="A123" s="276" t="s">
        <v>343</v>
      </c>
      <c r="W123" s="276">
        <v>151.0557</v>
      </c>
      <c r="X123" s="276">
        <v>0.27710000000000001</v>
      </c>
      <c r="Y123" s="276">
        <v>0.40029999999999999</v>
      </c>
      <c r="AN123" s="276" t="s">
        <v>347</v>
      </c>
    </row>
    <row r="125" spans="1:40" x14ac:dyDescent="0.25">
      <c r="A125" s="279" t="s">
        <v>569</v>
      </c>
    </row>
    <row r="126" spans="1:40" x14ac:dyDescent="0.25">
      <c r="A126" s="276" t="s">
        <v>425</v>
      </c>
      <c r="C126" s="276">
        <v>14</v>
      </c>
      <c r="D126" s="276">
        <v>40000</v>
      </c>
      <c r="AH126" s="276">
        <f>AI126*D126</f>
        <v>132000</v>
      </c>
      <c r="AI126" s="276">
        <v>3.3</v>
      </c>
      <c r="AJ126" s="276">
        <v>50</v>
      </c>
      <c r="AL126" s="276">
        <v>0.95199999999999996</v>
      </c>
    </row>
    <row r="127" spans="1:40" x14ac:dyDescent="0.25">
      <c r="A127" s="276" t="s">
        <v>570</v>
      </c>
      <c r="C127" s="276">
        <v>19</v>
      </c>
      <c r="D127" s="276">
        <v>43900</v>
      </c>
      <c r="AH127" s="276">
        <f>AI127*D127</f>
        <v>21950</v>
      </c>
      <c r="AI127" s="276">
        <v>0.5</v>
      </c>
      <c r="AJ127" s="276">
        <v>25</v>
      </c>
      <c r="AL127" s="276">
        <v>0.34399999999999997</v>
      </c>
    </row>
    <row r="128" spans="1:40" x14ac:dyDescent="0.25">
      <c r="A128" s="276" t="s">
        <v>483</v>
      </c>
      <c r="C128" s="276">
        <v>29</v>
      </c>
      <c r="D128" s="276">
        <v>35000</v>
      </c>
      <c r="AH128" s="276">
        <f>AI128*D128</f>
        <v>45500</v>
      </c>
      <c r="AI128" s="276">
        <v>1.3</v>
      </c>
      <c r="AJ128" s="276">
        <v>25</v>
      </c>
      <c r="AL128" s="276">
        <v>0.61299999999999999</v>
      </c>
    </row>
    <row r="129" spans="1:40" x14ac:dyDescent="0.25">
      <c r="A129" s="276" t="s">
        <v>571</v>
      </c>
      <c r="C129" s="276">
        <v>18</v>
      </c>
      <c r="D129" s="276">
        <v>39000</v>
      </c>
      <c r="AH129" s="276">
        <f>AI129*D129</f>
        <v>27300</v>
      </c>
      <c r="AI129" s="276">
        <v>0.7</v>
      </c>
      <c r="AJ129" s="276">
        <v>25</v>
      </c>
      <c r="AL129" s="276">
        <v>0.65800000000000003</v>
      </c>
    </row>
    <row r="131" spans="1:40" x14ac:dyDescent="0.25">
      <c r="A131" s="279" t="s">
        <v>361</v>
      </c>
    </row>
    <row r="132" spans="1:40" x14ac:dyDescent="0.25">
      <c r="A132" s="276" t="s">
        <v>356</v>
      </c>
      <c r="Z132" s="276">
        <v>83.8</v>
      </c>
    </row>
    <row r="133" spans="1:40" x14ac:dyDescent="0.25">
      <c r="A133" s="276" t="s">
        <v>357</v>
      </c>
      <c r="Z133" s="276">
        <v>91</v>
      </c>
    </row>
    <row r="134" spans="1:40" x14ac:dyDescent="0.25">
      <c r="A134" s="276" t="s">
        <v>363</v>
      </c>
      <c r="Z134" s="276">
        <v>77</v>
      </c>
    </row>
    <row r="135" spans="1:40" x14ac:dyDescent="0.25">
      <c r="A135" s="276" t="s">
        <v>358</v>
      </c>
      <c r="Z135" s="276">
        <v>85</v>
      </c>
    </row>
    <row r="136" spans="1:40" x14ac:dyDescent="0.25">
      <c r="A136" s="276" t="s">
        <v>656</v>
      </c>
      <c r="Z136" s="276">
        <v>77</v>
      </c>
    </row>
    <row r="138" spans="1:40" x14ac:dyDescent="0.25">
      <c r="A138" s="279" t="s">
        <v>368</v>
      </c>
    </row>
    <row r="139" spans="1:40" x14ac:dyDescent="0.25">
      <c r="A139" s="276" t="s">
        <v>380</v>
      </c>
      <c r="C139" s="276">
        <v>21.2</v>
      </c>
      <c r="AN139" s="276" t="s">
        <v>369</v>
      </c>
    </row>
    <row r="140" spans="1:40" x14ac:dyDescent="0.25">
      <c r="A140" s="276" t="s">
        <v>381</v>
      </c>
      <c r="C140" s="276">
        <v>33.19</v>
      </c>
      <c r="AN140" s="276" t="s">
        <v>369</v>
      </c>
    </row>
    <row r="141" spans="1:40" x14ac:dyDescent="0.25">
      <c r="A141" s="276" t="s">
        <v>382</v>
      </c>
      <c r="C141" s="276">
        <v>35</v>
      </c>
    </row>
    <row r="143" spans="1:40" x14ac:dyDescent="0.25">
      <c r="A143" s="279" t="s">
        <v>610</v>
      </c>
    </row>
    <row r="144" spans="1:40" x14ac:dyDescent="0.25">
      <c r="A144" s="276" t="s">
        <v>611</v>
      </c>
      <c r="B144" s="276" t="s">
        <v>612</v>
      </c>
      <c r="AK144" s="276">
        <v>19.600000000000001</v>
      </c>
    </row>
    <row r="146" spans="1:3" x14ac:dyDescent="0.25">
      <c r="A146" s="276" t="s">
        <v>631</v>
      </c>
    </row>
    <row r="147" spans="1:3" x14ac:dyDescent="0.25">
      <c r="A147" s="276" t="s">
        <v>633</v>
      </c>
      <c r="C147" s="276">
        <f>126/3.6</f>
        <v>35</v>
      </c>
    </row>
    <row r="148" spans="1:3" x14ac:dyDescent="0.25">
      <c r="A148" s="276" t="s">
        <v>636</v>
      </c>
      <c r="C148" s="276">
        <v>129.18969444444446</v>
      </c>
    </row>
    <row r="149" spans="1:3" x14ac:dyDescent="0.25">
      <c r="A149" s="276" t="s">
        <v>635</v>
      </c>
      <c r="C149" s="276">
        <f>Indata!C6/'Beräkning överskottsel'!B2</f>
        <v>248.62957647991831</v>
      </c>
    </row>
  </sheetData>
  <sheetProtection password="EA8D" sheet="1" objects="1" scenarios="1" selectLockedCells="1" selectUnlockedCells="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5:AB355"/>
  <sheetViews>
    <sheetView workbookViewId="0">
      <selection activeCell="B4" sqref="B4"/>
    </sheetView>
  </sheetViews>
  <sheetFormatPr defaultRowHeight="15" x14ac:dyDescent="0.25"/>
  <cols>
    <col min="1" max="3" width="9.140625" style="108"/>
    <col min="4" max="4" width="9.7109375" style="108" customWidth="1"/>
    <col min="5" max="5" width="11.7109375" style="108" customWidth="1"/>
    <col min="6" max="6" width="10.28515625" style="108" customWidth="1"/>
    <col min="7" max="7" width="17.5703125" style="108" customWidth="1"/>
    <col min="8" max="8" width="9.140625" style="108"/>
    <col min="9" max="9" width="10" style="108" customWidth="1"/>
    <col min="10" max="16384" width="9.140625" style="108"/>
  </cols>
  <sheetData>
    <row r="5" spans="4:28" x14ac:dyDescent="0.25">
      <c r="D5" s="109"/>
      <c r="E5" s="109"/>
      <c r="F5" s="109"/>
      <c r="G5" s="109"/>
      <c r="H5" s="109"/>
      <c r="I5" s="109"/>
      <c r="J5" s="109"/>
      <c r="K5" s="109"/>
      <c r="L5" s="109"/>
      <c r="M5" s="109"/>
      <c r="N5" s="109"/>
      <c r="O5" s="109"/>
      <c r="P5" s="109"/>
      <c r="Q5" s="109"/>
      <c r="R5" s="109"/>
      <c r="S5" s="109"/>
      <c r="T5" s="109"/>
      <c r="U5" s="109"/>
      <c r="V5" s="109"/>
      <c r="W5" s="109"/>
      <c r="X5" s="109"/>
      <c r="Y5" s="109"/>
      <c r="Z5" s="109"/>
      <c r="AA5" s="109"/>
      <c r="AB5" s="109"/>
    </row>
    <row r="6" spans="4:28" ht="18.75" x14ac:dyDescent="0.3">
      <c r="D6" s="110" t="s">
        <v>186</v>
      </c>
      <c r="E6" s="110" t="s">
        <v>187</v>
      </c>
      <c r="F6" s="110" t="s">
        <v>6</v>
      </c>
      <c r="G6" s="111" t="s">
        <v>191</v>
      </c>
      <c r="H6" s="111" t="s">
        <v>195</v>
      </c>
      <c r="I6" s="112"/>
      <c r="J6" s="112"/>
      <c r="K6" s="110" t="s">
        <v>377</v>
      </c>
      <c r="L6" s="112"/>
      <c r="M6" s="110" t="s">
        <v>387</v>
      </c>
      <c r="N6" s="113"/>
      <c r="O6" s="110" t="s">
        <v>396</v>
      </c>
      <c r="P6" s="112"/>
      <c r="Q6" s="112"/>
      <c r="R6" s="112"/>
      <c r="S6" s="112"/>
      <c r="T6" s="112"/>
      <c r="U6" s="112"/>
      <c r="V6" s="112"/>
      <c r="W6" s="112"/>
      <c r="X6" s="112"/>
      <c r="Y6" s="112"/>
      <c r="Z6" s="112"/>
      <c r="AA6" s="112"/>
      <c r="AB6" s="112"/>
    </row>
    <row r="7" spans="4:28" x14ac:dyDescent="0.25">
      <c r="D7" s="114">
        <v>0.1</v>
      </c>
      <c r="E7" s="112" t="s">
        <v>266</v>
      </c>
      <c r="F7" s="115" t="s">
        <v>185</v>
      </c>
      <c r="G7" s="112">
        <v>1</v>
      </c>
      <c r="H7" s="112">
        <v>150</v>
      </c>
      <c r="I7" s="112"/>
      <c r="J7" s="112"/>
      <c r="K7" s="112" t="s">
        <v>192</v>
      </c>
      <c r="L7" s="112"/>
      <c r="M7" s="112" t="s">
        <v>476</v>
      </c>
      <c r="N7" s="112"/>
      <c r="O7" s="112" t="s">
        <v>267</v>
      </c>
      <c r="P7" s="112"/>
      <c r="Q7" s="112"/>
      <c r="R7" s="112"/>
      <c r="S7" s="112"/>
      <c r="T7" s="112"/>
      <c r="U7" s="112"/>
      <c r="V7" s="112"/>
      <c r="W7" s="112"/>
      <c r="X7" s="112"/>
      <c r="Y7" s="112"/>
      <c r="Z7" s="112"/>
      <c r="AA7" s="112"/>
      <c r="AB7" s="112"/>
    </row>
    <row r="8" spans="4:28" x14ac:dyDescent="0.25">
      <c r="D8" s="114">
        <v>0.2</v>
      </c>
      <c r="E8" s="112" t="s">
        <v>188</v>
      </c>
      <c r="F8" s="115" t="s">
        <v>183</v>
      </c>
      <c r="G8" s="112">
        <v>10</v>
      </c>
      <c r="H8" s="112"/>
      <c r="I8" s="112"/>
      <c r="J8" s="112"/>
      <c r="K8" s="112" t="s">
        <v>193</v>
      </c>
      <c r="L8" s="112"/>
      <c r="M8" s="112" t="s">
        <v>388</v>
      </c>
      <c r="N8" s="112"/>
      <c r="O8" s="112" t="s">
        <v>189</v>
      </c>
      <c r="P8" s="112"/>
      <c r="Q8" s="112"/>
      <c r="R8" s="112"/>
      <c r="S8" s="112"/>
      <c r="T8" s="112"/>
      <c r="U8" s="112"/>
      <c r="V8" s="112"/>
      <c r="W8" s="112"/>
      <c r="X8" s="112"/>
      <c r="Y8" s="112"/>
      <c r="Z8" s="112"/>
      <c r="AA8" s="112"/>
      <c r="AB8" s="112"/>
    </row>
    <row r="9" spans="4:28" x14ac:dyDescent="0.25">
      <c r="D9" s="114">
        <v>0.3</v>
      </c>
      <c r="E9" s="112" t="s">
        <v>189</v>
      </c>
      <c r="F9" s="112"/>
      <c r="G9" s="112">
        <v>100</v>
      </c>
      <c r="H9" s="112"/>
      <c r="I9" s="115"/>
      <c r="J9" s="112"/>
      <c r="K9" s="112" t="s">
        <v>378</v>
      </c>
      <c r="L9" s="112"/>
      <c r="M9" s="112" t="s">
        <v>404</v>
      </c>
      <c r="N9" s="112"/>
      <c r="O9" s="112" t="s">
        <v>190</v>
      </c>
      <c r="P9" s="112"/>
      <c r="Q9" s="112"/>
      <c r="R9" s="112"/>
      <c r="S9" s="112"/>
      <c r="T9" s="112"/>
      <c r="U9" s="112"/>
      <c r="V9" s="112"/>
      <c r="W9" s="112"/>
      <c r="X9" s="112"/>
      <c r="Y9" s="112"/>
      <c r="Z9" s="112"/>
      <c r="AA9" s="112"/>
      <c r="AB9" s="112"/>
    </row>
    <row r="10" spans="4:28" x14ac:dyDescent="0.25">
      <c r="D10" s="114">
        <v>0.4</v>
      </c>
      <c r="E10" s="112" t="s">
        <v>267</v>
      </c>
      <c r="F10" s="112"/>
      <c r="G10" s="112">
        <v>200</v>
      </c>
      <c r="H10" s="112"/>
      <c r="I10" s="115"/>
      <c r="J10" s="112"/>
      <c r="K10" s="112"/>
      <c r="L10" s="112"/>
      <c r="M10" s="112" t="s">
        <v>542</v>
      </c>
      <c r="N10" s="112"/>
      <c r="O10" s="112" t="s">
        <v>669</v>
      </c>
      <c r="P10" s="112"/>
      <c r="Q10" s="112"/>
      <c r="R10" s="112"/>
      <c r="S10" s="112"/>
      <c r="T10" s="112"/>
      <c r="U10" s="112"/>
      <c r="V10" s="112"/>
      <c r="W10" s="112"/>
      <c r="X10" s="112"/>
      <c r="Y10" s="112"/>
      <c r="Z10" s="112"/>
      <c r="AA10" s="112"/>
      <c r="AB10" s="112"/>
    </row>
    <row r="11" spans="4:28" x14ac:dyDescent="0.25">
      <c r="D11" s="114">
        <v>0.5</v>
      </c>
      <c r="E11" s="112" t="s">
        <v>190</v>
      </c>
      <c r="F11" s="112"/>
      <c r="G11" s="112">
        <v>500</v>
      </c>
      <c r="H11" s="112"/>
      <c r="I11" s="112"/>
      <c r="J11" s="112"/>
      <c r="K11" s="112"/>
      <c r="L11" s="112"/>
      <c r="M11" s="112"/>
      <c r="N11" s="112"/>
      <c r="O11" s="112" t="s">
        <v>670</v>
      </c>
      <c r="P11" s="112"/>
      <c r="Q11" s="112"/>
      <c r="R11" s="112"/>
      <c r="S11" s="112"/>
      <c r="T11" s="112"/>
      <c r="U11" s="112"/>
      <c r="V11" s="112"/>
      <c r="W11" s="112"/>
      <c r="X11" s="112"/>
      <c r="Y11" s="112"/>
      <c r="Z11" s="112"/>
      <c r="AA11" s="112"/>
      <c r="AB11" s="112"/>
    </row>
    <row r="12" spans="4:28" x14ac:dyDescent="0.25">
      <c r="D12" s="114">
        <v>0.6</v>
      </c>
      <c r="E12" s="112" t="s">
        <v>268</v>
      </c>
      <c r="F12" s="112"/>
      <c r="G12" s="112">
        <v>1000</v>
      </c>
      <c r="H12" s="112"/>
      <c r="I12" s="112"/>
      <c r="J12" s="112"/>
      <c r="K12" s="112"/>
      <c r="L12" s="112"/>
      <c r="M12" s="112"/>
      <c r="N12" s="112"/>
      <c r="O12" s="112" t="s">
        <v>269</v>
      </c>
      <c r="P12" s="112"/>
      <c r="Q12" s="112"/>
      <c r="R12" s="112"/>
      <c r="S12" s="112"/>
      <c r="T12" s="112"/>
      <c r="U12" s="112"/>
      <c r="V12" s="112"/>
      <c r="W12" s="112"/>
      <c r="X12" s="112"/>
      <c r="Y12" s="112"/>
      <c r="Z12" s="112"/>
      <c r="AA12" s="112"/>
      <c r="AB12" s="112"/>
    </row>
    <row r="13" spans="4:28" x14ac:dyDescent="0.25">
      <c r="D13" s="114">
        <v>0.7</v>
      </c>
      <c r="E13" s="112" t="s">
        <v>269</v>
      </c>
      <c r="F13" s="112"/>
      <c r="G13" s="112"/>
      <c r="H13" s="112"/>
      <c r="I13" s="112"/>
      <c r="J13" s="112"/>
      <c r="K13" s="112"/>
      <c r="L13" s="112"/>
      <c r="M13" s="112"/>
      <c r="N13" s="112"/>
      <c r="O13" s="112" t="s">
        <v>671</v>
      </c>
      <c r="P13" s="112"/>
      <c r="Q13" s="112"/>
      <c r="R13" s="112"/>
      <c r="S13" s="112"/>
      <c r="T13" s="112"/>
      <c r="U13" s="112"/>
      <c r="V13" s="112"/>
      <c r="W13" s="112"/>
      <c r="X13" s="112"/>
      <c r="Y13" s="112"/>
      <c r="Z13" s="112"/>
      <c r="AA13" s="112"/>
      <c r="AB13" s="112"/>
    </row>
    <row r="14" spans="4:28" x14ac:dyDescent="0.25">
      <c r="D14" s="114">
        <v>0.8</v>
      </c>
      <c r="E14" s="112"/>
      <c r="F14" s="112"/>
      <c r="G14" s="112"/>
      <c r="H14" s="112"/>
      <c r="I14" s="112"/>
      <c r="J14" s="112"/>
      <c r="K14" s="112"/>
      <c r="L14" s="112"/>
      <c r="M14" s="112"/>
      <c r="N14" s="112"/>
      <c r="O14" s="112"/>
      <c r="P14" s="110" t="s">
        <v>409</v>
      </c>
      <c r="Q14" s="112"/>
      <c r="R14" s="112"/>
      <c r="S14" s="112"/>
      <c r="T14" s="112"/>
      <c r="U14" s="112"/>
      <c r="V14" s="112"/>
      <c r="W14" s="112"/>
      <c r="X14" s="112"/>
      <c r="Y14" s="112"/>
      <c r="Z14" s="112"/>
      <c r="AA14" s="112"/>
      <c r="AB14" s="112"/>
    </row>
    <row r="15" spans="4:28" x14ac:dyDescent="0.25">
      <c r="D15" s="114">
        <v>0.9</v>
      </c>
      <c r="E15" s="112"/>
      <c r="F15" s="112"/>
      <c r="G15" s="112"/>
      <c r="H15" s="112"/>
      <c r="I15" s="112"/>
      <c r="J15" s="112"/>
      <c r="K15" s="112"/>
      <c r="L15" s="112"/>
      <c r="M15" s="112"/>
      <c r="N15" s="112"/>
      <c r="O15" s="112"/>
      <c r="P15" s="187" t="s">
        <v>523</v>
      </c>
      <c r="Q15" s="112"/>
      <c r="R15" s="112"/>
      <c r="S15" s="112"/>
      <c r="T15" s="112"/>
      <c r="U15" s="112"/>
      <c r="V15" s="112"/>
      <c r="W15" s="112"/>
      <c r="X15" s="112"/>
      <c r="Y15" s="112"/>
      <c r="Z15" s="112"/>
      <c r="AA15" s="112"/>
      <c r="AB15" s="112"/>
    </row>
    <row r="16" spans="4:28" x14ac:dyDescent="0.25">
      <c r="D16" s="116">
        <v>1</v>
      </c>
      <c r="E16" s="112"/>
      <c r="F16" s="112"/>
      <c r="G16" s="112"/>
      <c r="H16" s="112"/>
      <c r="I16" s="112"/>
      <c r="J16" s="112"/>
      <c r="K16" s="112"/>
      <c r="L16" s="112"/>
      <c r="M16" s="112"/>
      <c r="N16" s="112"/>
      <c r="O16" s="112"/>
      <c r="P16" s="187" t="s">
        <v>524</v>
      </c>
      <c r="Q16" s="112"/>
      <c r="R16" s="112"/>
      <c r="S16" s="112"/>
      <c r="T16" s="112"/>
      <c r="U16" s="112"/>
      <c r="V16" s="112"/>
      <c r="W16" s="112"/>
      <c r="X16" s="112"/>
      <c r="Y16" s="112"/>
      <c r="Z16" s="112"/>
      <c r="AA16" s="112"/>
      <c r="AB16" s="112"/>
    </row>
    <row r="17" spans="1:28" x14ac:dyDescent="0.25">
      <c r="D17" s="112" t="s">
        <v>183</v>
      </c>
      <c r="E17" s="112"/>
      <c r="F17" s="112"/>
      <c r="G17" s="112"/>
      <c r="H17" s="112"/>
      <c r="I17" s="112"/>
      <c r="J17" s="112"/>
      <c r="K17" s="112"/>
      <c r="L17" s="112"/>
      <c r="M17" s="112"/>
      <c r="N17" s="112"/>
      <c r="O17" s="112"/>
      <c r="P17" s="187" t="s">
        <v>525</v>
      </c>
      <c r="Q17" s="112"/>
      <c r="R17" s="112"/>
      <c r="S17" s="112"/>
      <c r="T17" s="112"/>
      <c r="U17" s="112"/>
      <c r="V17" s="112"/>
      <c r="W17" s="112"/>
      <c r="X17" s="112"/>
      <c r="Y17" s="112"/>
      <c r="Z17" s="112"/>
      <c r="AA17" s="112"/>
      <c r="AB17" s="112"/>
    </row>
    <row r="18" spans="1:28" x14ac:dyDescent="0.25">
      <c r="D18" s="110" t="s">
        <v>246</v>
      </c>
      <c r="E18" s="112"/>
      <c r="F18" s="110" t="s">
        <v>297</v>
      </c>
      <c r="G18" s="112"/>
      <c r="H18" s="110" t="s">
        <v>307</v>
      </c>
      <c r="I18" s="112"/>
      <c r="J18" s="112"/>
      <c r="K18" s="110" t="s">
        <v>355</v>
      </c>
      <c r="L18" s="112"/>
      <c r="M18" s="112"/>
      <c r="N18" s="112"/>
      <c r="O18" s="112"/>
      <c r="P18" s="112" t="s">
        <v>406</v>
      </c>
      <c r="Q18" s="112"/>
      <c r="R18" s="112"/>
      <c r="S18" s="112"/>
      <c r="T18" s="112"/>
      <c r="U18" s="112"/>
      <c r="V18" s="112"/>
      <c r="W18" s="112"/>
      <c r="X18" s="112"/>
      <c r="Y18" s="112"/>
      <c r="Z18" s="112"/>
      <c r="AA18" s="112"/>
      <c r="AB18" s="112"/>
    </row>
    <row r="19" spans="1:28" x14ac:dyDescent="0.25">
      <c r="D19" s="112" t="s">
        <v>247</v>
      </c>
      <c r="E19" s="112"/>
      <c r="F19" s="112" t="s">
        <v>298</v>
      </c>
      <c r="G19" s="112"/>
      <c r="H19" s="112" t="s">
        <v>308</v>
      </c>
      <c r="I19" s="112"/>
      <c r="J19" s="112"/>
      <c r="K19" s="112"/>
      <c r="L19" s="112"/>
      <c r="M19" s="112"/>
      <c r="N19" s="112"/>
      <c r="O19" s="112"/>
      <c r="P19" s="112" t="s">
        <v>407</v>
      </c>
      <c r="Q19" s="112"/>
      <c r="R19" s="112"/>
      <c r="S19" s="112"/>
      <c r="T19" s="112"/>
      <c r="U19" s="112"/>
      <c r="V19" s="112"/>
      <c r="W19" s="112"/>
      <c r="X19" s="112"/>
      <c r="Y19" s="112"/>
      <c r="Z19" s="112"/>
      <c r="AA19" s="112"/>
      <c r="AB19" s="112"/>
    </row>
    <row r="20" spans="1:28" x14ac:dyDescent="0.25">
      <c r="D20" s="112" t="s">
        <v>248</v>
      </c>
      <c r="E20" s="112"/>
      <c r="F20" s="112" t="s">
        <v>299</v>
      </c>
      <c r="G20" s="112"/>
      <c r="H20" s="112" t="s">
        <v>309</v>
      </c>
      <c r="I20" s="112"/>
      <c r="J20" s="112"/>
      <c r="K20" s="112" t="s">
        <v>357</v>
      </c>
      <c r="L20" s="112"/>
      <c r="M20" s="112"/>
      <c r="N20" s="112"/>
      <c r="O20" s="112"/>
      <c r="P20" s="112" t="s">
        <v>410</v>
      </c>
      <c r="Q20" s="112"/>
      <c r="R20" s="112"/>
      <c r="S20" s="112"/>
      <c r="T20" s="112"/>
      <c r="U20" s="112"/>
      <c r="V20" s="112"/>
      <c r="W20" s="112"/>
      <c r="X20" s="112"/>
      <c r="Y20" s="112"/>
      <c r="Z20" s="112"/>
      <c r="AA20" s="112"/>
      <c r="AB20" s="112"/>
    </row>
    <row r="21" spans="1:28" x14ac:dyDescent="0.25">
      <c r="D21" s="112" t="s">
        <v>249</v>
      </c>
      <c r="E21" s="112"/>
      <c r="F21" s="112" t="s">
        <v>303</v>
      </c>
      <c r="G21" s="112"/>
      <c r="H21" s="112" t="s">
        <v>544</v>
      </c>
      <c r="I21" s="112"/>
      <c r="J21" s="112"/>
      <c r="K21" s="112" t="s">
        <v>363</v>
      </c>
      <c r="L21" s="112"/>
      <c r="M21" s="112"/>
      <c r="N21" s="112"/>
      <c r="O21" s="112"/>
      <c r="P21" s="112"/>
      <c r="Q21" s="112"/>
      <c r="R21" s="112"/>
      <c r="S21" s="112"/>
      <c r="T21" s="112"/>
      <c r="U21" s="112"/>
      <c r="V21" s="112"/>
      <c r="W21" s="112"/>
      <c r="X21" s="112"/>
      <c r="Y21" s="112"/>
      <c r="Z21" s="112"/>
      <c r="AA21" s="112"/>
      <c r="AB21" s="112"/>
    </row>
    <row r="22" spans="1:28" x14ac:dyDescent="0.25">
      <c r="D22" s="112" t="s">
        <v>250</v>
      </c>
      <c r="E22" s="112"/>
      <c r="F22" s="112" t="s">
        <v>379</v>
      </c>
      <c r="G22" s="112"/>
      <c r="H22" s="112"/>
      <c r="I22" s="112"/>
      <c r="J22" s="112"/>
      <c r="K22" s="112" t="s">
        <v>358</v>
      </c>
      <c r="L22" s="112"/>
      <c r="M22" s="112"/>
      <c r="N22" s="112"/>
      <c r="O22" s="112"/>
      <c r="P22" s="112"/>
      <c r="Q22" s="112"/>
      <c r="R22" s="112"/>
      <c r="S22" s="112"/>
      <c r="T22" s="112"/>
      <c r="U22" s="112"/>
      <c r="V22" s="112"/>
      <c r="W22" s="112"/>
      <c r="X22" s="112"/>
      <c r="Y22" s="112"/>
      <c r="Z22" s="112"/>
      <c r="AA22" s="112"/>
      <c r="AB22" s="112"/>
    </row>
    <row r="23" spans="1:28" x14ac:dyDescent="0.25">
      <c r="D23" s="112" t="s">
        <v>251</v>
      </c>
      <c r="E23" s="112"/>
      <c r="F23" s="112"/>
      <c r="G23" s="112"/>
      <c r="H23" s="112"/>
      <c r="I23" s="112"/>
      <c r="J23" s="112"/>
      <c r="K23" s="112" t="s">
        <v>356</v>
      </c>
      <c r="L23" s="112"/>
      <c r="M23" s="112"/>
      <c r="N23" s="112"/>
      <c r="O23" s="112"/>
      <c r="P23" s="112"/>
      <c r="Q23" s="112"/>
      <c r="R23" s="112"/>
      <c r="S23" s="112"/>
      <c r="T23" s="112"/>
      <c r="U23" s="112"/>
      <c r="V23" s="112"/>
      <c r="W23" s="112"/>
      <c r="X23" s="112"/>
      <c r="Y23" s="112"/>
      <c r="Z23" s="112"/>
      <c r="AA23" s="112"/>
      <c r="AB23" s="112"/>
    </row>
    <row r="24" spans="1:28" x14ac:dyDescent="0.25">
      <c r="D24" s="112" t="s">
        <v>290</v>
      </c>
      <c r="E24" s="112"/>
      <c r="F24" s="112"/>
      <c r="G24" s="112"/>
      <c r="H24" s="112"/>
      <c r="I24" s="112"/>
      <c r="J24" s="112"/>
      <c r="K24" s="112" t="s">
        <v>656</v>
      </c>
      <c r="L24" s="112"/>
      <c r="M24" s="112"/>
      <c r="N24" s="112"/>
      <c r="O24" s="112"/>
      <c r="P24" s="112"/>
      <c r="Q24" s="112"/>
      <c r="R24" s="112"/>
      <c r="S24" s="112"/>
      <c r="T24" s="112"/>
      <c r="U24" s="112"/>
      <c r="V24" s="112"/>
      <c r="W24" s="112"/>
      <c r="X24" s="112"/>
      <c r="Y24" s="112"/>
      <c r="Z24" s="112"/>
      <c r="AA24" s="112"/>
      <c r="AB24" s="112"/>
    </row>
    <row r="25" spans="1:28" x14ac:dyDescent="0.25">
      <c r="D25" s="112" t="s">
        <v>383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row>
    <row r="26" spans="1:28" x14ac:dyDescent="0.25">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row>
    <row r="27" spans="1:28" x14ac:dyDescent="0.25">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row>
    <row r="28" spans="1:28" x14ac:dyDescent="0.25">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row>
    <row r="29" spans="1:28" x14ac:dyDescent="0.25">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row>
    <row r="30" spans="1:28" ht="18.75" x14ac:dyDescent="0.3">
      <c r="A30" s="342" t="s">
        <v>235</v>
      </c>
      <c r="B30" s="342"/>
      <c r="C30" s="342"/>
      <c r="D30" s="110" t="s">
        <v>237</v>
      </c>
      <c r="E30" s="110" t="s">
        <v>236</v>
      </c>
      <c r="F30" s="110" t="s">
        <v>370</v>
      </c>
      <c r="G30" s="110" t="s">
        <v>223</v>
      </c>
      <c r="H30" s="110" t="s">
        <v>522</v>
      </c>
      <c r="I30" s="112"/>
      <c r="J30" s="112"/>
      <c r="K30" s="112"/>
      <c r="L30" s="112"/>
      <c r="M30" s="112"/>
      <c r="N30" s="112"/>
      <c r="O30" s="112"/>
      <c r="P30" s="112"/>
      <c r="Q30" s="112"/>
      <c r="R30" s="112"/>
      <c r="S30" s="112"/>
      <c r="T30" s="112"/>
      <c r="U30" s="112"/>
      <c r="V30" s="112"/>
      <c r="W30" s="112"/>
      <c r="X30" s="112"/>
      <c r="Y30" s="112"/>
      <c r="Z30" s="112"/>
      <c r="AA30" s="112"/>
      <c r="AB30" s="112"/>
    </row>
    <row r="31" spans="1:28" x14ac:dyDescent="0.25">
      <c r="D31" s="112" t="s">
        <v>212</v>
      </c>
      <c r="E31" s="112" t="s">
        <v>183</v>
      </c>
      <c r="F31" s="112" t="s">
        <v>183</v>
      </c>
      <c r="G31" s="112" t="s">
        <v>142</v>
      </c>
      <c r="H31" s="112" t="s">
        <v>145</v>
      </c>
      <c r="I31" s="112"/>
      <c r="J31" s="112"/>
      <c r="K31" s="112"/>
      <c r="L31" s="112"/>
      <c r="M31" s="112"/>
      <c r="N31" s="112"/>
      <c r="O31" s="112"/>
      <c r="P31" s="112"/>
      <c r="Q31" s="112"/>
      <c r="R31" s="112"/>
      <c r="S31" s="112"/>
      <c r="T31" s="112"/>
      <c r="U31" s="112"/>
      <c r="V31" s="112"/>
      <c r="W31" s="112"/>
      <c r="X31" s="112"/>
      <c r="Y31" s="112"/>
      <c r="Z31" s="112"/>
      <c r="AA31" s="112"/>
      <c r="AB31" s="112"/>
    </row>
    <row r="32" spans="1:28" x14ac:dyDescent="0.25">
      <c r="D32" s="112" t="s">
        <v>211</v>
      </c>
      <c r="E32" s="112">
        <v>1</v>
      </c>
      <c r="F32" s="112" t="s">
        <v>531</v>
      </c>
      <c r="G32" s="112" t="s">
        <v>244</v>
      </c>
      <c r="H32" s="112" t="s">
        <v>143</v>
      </c>
      <c r="I32" s="112"/>
      <c r="J32" s="112"/>
      <c r="K32" s="112"/>
      <c r="L32" s="112"/>
      <c r="M32" s="112"/>
      <c r="N32" s="112"/>
      <c r="O32" s="112"/>
      <c r="P32" s="112"/>
      <c r="Q32" s="112"/>
      <c r="R32" s="112"/>
      <c r="S32" s="112"/>
      <c r="T32" s="112"/>
      <c r="U32" s="112"/>
      <c r="V32" s="112"/>
      <c r="W32" s="112"/>
      <c r="X32" s="112"/>
      <c r="Y32" s="112"/>
      <c r="Z32" s="112"/>
      <c r="AA32" s="112"/>
      <c r="AB32" s="112"/>
    </row>
    <row r="33" spans="1:28" x14ac:dyDescent="0.25">
      <c r="D33" s="112" t="s">
        <v>314</v>
      </c>
      <c r="E33" s="112">
        <v>2</v>
      </c>
      <c r="F33" s="112" t="s">
        <v>231</v>
      </c>
      <c r="G33" s="112"/>
      <c r="H33" s="112"/>
      <c r="I33" s="112"/>
      <c r="J33" s="112"/>
      <c r="K33" s="112"/>
      <c r="L33" s="112"/>
      <c r="M33" s="112"/>
      <c r="N33" s="112"/>
      <c r="O33" s="112"/>
      <c r="P33" s="112"/>
      <c r="Q33" s="112"/>
      <c r="R33" s="112"/>
      <c r="S33" s="112"/>
      <c r="T33" s="112"/>
      <c r="U33" s="112"/>
      <c r="V33" s="112"/>
      <c r="W33" s="112"/>
      <c r="X33" s="112"/>
      <c r="Y33" s="112"/>
      <c r="Z33" s="112"/>
      <c r="AA33" s="112"/>
      <c r="AB33" s="112"/>
    </row>
    <row r="34" spans="1:28" x14ac:dyDescent="0.25">
      <c r="D34" s="112" t="s">
        <v>543</v>
      </c>
      <c r="E34" s="112">
        <v>3</v>
      </c>
      <c r="F34" s="112" t="s">
        <v>232</v>
      </c>
      <c r="G34" s="112"/>
      <c r="H34" s="112"/>
      <c r="I34" s="112"/>
      <c r="J34" s="112"/>
      <c r="K34" s="112"/>
      <c r="L34" s="112"/>
      <c r="M34" s="112"/>
      <c r="N34" s="112"/>
      <c r="O34" s="112"/>
      <c r="P34" s="112"/>
      <c r="Q34" s="112"/>
      <c r="R34" s="112"/>
      <c r="S34" s="112"/>
      <c r="T34" s="112"/>
      <c r="U34" s="112"/>
      <c r="V34" s="112"/>
      <c r="W34" s="112"/>
      <c r="X34" s="112"/>
      <c r="Y34" s="112"/>
      <c r="Z34" s="112"/>
      <c r="AA34" s="112"/>
      <c r="AB34" s="112"/>
    </row>
    <row r="35" spans="1:28" x14ac:dyDescent="0.25">
      <c r="D35" s="112"/>
      <c r="E35" s="112">
        <v>4</v>
      </c>
      <c r="F35" s="112" t="s">
        <v>233</v>
      </c>
      <c r="G35" s="112"/>
      <c r="H35" s="112"/>
      <c r="I35" s="112"/>
      <c r="J35" s="112"/>
      <c r="K35" s="112"/>
      <c r="L35" s="112"/>
      <c r="M35" s="112"/>
      <c r="N35" s="112"/>
      <c r="O35" s="112"/>
      <c r="P35" s="112"/>
      <c r="Q35" s="112"/>
      <c r="R35" s="112"/>
      <c r="S35" s="112"/>
      <c r="T35" s="112"/>
      <c r="U35" s="112"/>
      <c r="V35" s="112"/>
      <c r="W35" s="112"/>
      <c r="X35" s="112"/>
      <c r="Y35" s="112"/>
      <c r="Z35" s="112"/>
      <c r="AA35" s="112"/>
      <c r="AB35" s="112"/>
    </row>
    <row r="36" spans="1:28" x14ac:dyDescent="0.25">
      <c r="D36" s="112"/>
      <c r="E36" s="112">
        <v>5</v>
      </c>
      <c r="F36" s="112"/>
      <c r="G36" s="112"/>
      <c r="H36" s="112"/>
      <c r="I36" s="112"/>
      <c r="J36" s="112"/>
      <c r="K36" s="112"/>
      <c r="L36" s="112"/>
      <c r="M36" s="112"/>
      <c r="N36" s="112"/>
      <c r="O36" s="112"/>
      <c r="P36" s="112"/>
      <c r="Q36" s="112"/>
      <c r="R36" s="112"/>
      <c r="S36" s="112"/>
      <c r="T36" s="112"/>
      <c r="U36" s="112"/>
      <c r="V36" s="112"/>
      <c r="W36" s="112"/>
      <c r="X36" s="112"/>
      <c r="Y36" s="112"/>
      <c r="Z36" s="112"/>
      <c r="AA36" s="112"/>
      <c r="AB36" s="112"/>
    </row>
    <row r="37" spans="1:28" x14ac:dyDescent="0.25">
      <c r="D37" s="112"/>
      <c r="E37" s="112">
        <v>6</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row>
    <row r="38" spans="1:28" x14ac:dyDescent="0.25">
      <c r="D38" s="112"/>
      <c r="E38" s="112">
        <v>7</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row>
    <row r="39" spans="1:28" x14ac:dyDescent="0.25">
      <c r="D39" s="112"/>
      <c r="E39" s="112">
        <v>8</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row>
    <row r="40" spans="1:28" x14ac:dyDescent="0.25">
      <c r="D40" s="112"/>
      <c r="E40" s="112">
        <v>9</v>
      </c>
      <c r="F40" s="112"/>
      <c r="G40" s="112"/>
      <c r="H40" s="112"/>
      <c r="I40" s="112"/>
      <c r="J40" s="112"/>
      <c r="K40" s="112"/>
      <c r="L40" s="112"/>
      <c r="M40" s="112"/>
      <c r="N40" s="112"/>
      <c r="O40" s="112"/>
      <c r="P40" s="112"/>
      <c r="Q40" s="112"/>
      <c r="R40" s="112"/>
      <c r="S40" s="112"/>
      <c r="T40" s="112"/>
      <c r="U40" s="112"/>
      <c r="V40" s="112"/>
      <c r="W40" s="112"/>
      <c r="X40" s="112"/>
      <c r="Y40" s="112"/>
      <c r="Z40" s="112"/>
      <c r="AA40" s="112"/>
      <c r="AB40" s="112"/>
    </row>
    <row r="41" spans="1:28" x14ac:dyDescent="0.25">
      <c r="D41" s="112"/>
      <c r="E41" s="112">
        <v>10</v>
      </c>
      <c r="F41" s="112"/>
      <c r="G41" s="112"/>
      <c r="H41" s="112"/>
      <c r="I41" s="112"/>
      <c r="J41" s="112"/>
      <c r="K41" s="112"/>
      <c r="L41" s="112"/>
      <c r="M41" s="112"/>
      <c r="N41" s="112"/>
      <c r="O41" s="112"/>
      <c r="P41" s="112"/>
      <c r="Q41" s="112"/>
      <c r="R41" s="112"/>
      <c r="S41" s="112"/>
      <c r="T41" s="112"/>
      <c r="U41" s="112"/>
      <c r="V41" s="112"/>
      <c r="W41" s="112"/>
      <c r="X41" s="112"/>
      <c r="Y41" s="112"/>
      <c r="Z41" s="112"/>
      <c r="AA41" s="112"/>
      <c r="AB41" s="112"/>
    </row>
    <row r="42" spans="1:28" x14ac:dyDescent="0.25">
      <c r="D42" s="112"/>
      <c r="E42" s="112">
        <v>11</v>
      </c>
      <c r="F42" s="112"/>
      <c r="G42" s="112"/>
      <c r="H42" s="112"/>
      <c r="I42" s="112"/>
      <c r="J42" s="112"/>
      <c r="K42" s="112"/>
      <c r="L42" s="112"/>
      <c r="M42" s="112"/>
      <c r="N42" s="112"/>
      <c r="O42" s="112"/>
      <c r="P42" s="112"/>
      <c r="Q42" s="112"/>
      <c r="R42" s="112"/>
      <c r="S42" s="112"/>
      <c r="T42" s="112"/>
      <c r="U42" s="112"/>
      <c r="V42" s="112"/>
      <c r="W42" s="112"/>
      <c r="X42" s="112"/>
      <c r="Y42" s="112"/>
      <c r="Z42" s="112"/>
      <c r="AA42" s="112"/>
      <c r="AB42" s="112"/>
    </row>
    <row r="43" spans="1:28" x14ac:dyDescent="0.25">
      <c r="D43" s="112"/>
      <c r="E43" s="112">
        <v>12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row>
    <row r="44" spans="1:28" x14ac:dyDescent="0.25">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row>
    <row r="45" spans="1:28" x14ac:dyDescent="0.25">
      <c r="A45" s="108" t="s">
        <v>423</v>
      </c>
      <c r="D45" s="110" t="s">
        <v>367</v>
      </c>
      <c r="E45" s="112"/>
      <c r="F45" s="112"/>
      <c r="G45" s="110" t="s">
        <v>424</v>
      </c>
      <c r="H45" s="110" t="s">
        <v>583</v>
      </c>
      <c r="I45" s="112"/>
      <c r="J45" s="110" t="s">
        <v>597</v>
      </c>
      <c r="K45" s="112"/>
      <c r="L45" s="112"/>
      <c r="M45" s="112"/>
      <c r="N45" s="110" t="s">
        <v>607</v>
      </c>
      <c r="O45" s="112"/>
      <c r="P45" s="112"/>
      <c r="Q45" s="110" t="s">
        <v>632</v>
      </c>
      <c r="R45" s="112"/>
      <c r="S45" s="112"/>
      <c r="T45" s="112"/>
      <c r="U45" s="112"/>
      <c r="V45" s="112"/>
      <c r="W45" s="112"/>
      <c r="X45" s="112"/>
      <c r="Y45" s="112"/>
      <c r="Z45" s="112"/>
      <c r="AA45" s="112"/>
      <c r="AB45" s="112"/>
    </row>
    <row r="46" spans="1:28" x14ac:dyDescent="0.25">
      <c r="D46" s="112" t="s">
        <v>380</v>
      </c>
      <c r="E46" s="112"/>
      <c r="F46" s="112"/>
      <c r="G46" s="187" t="s">
        <v>425</v>
      </c>
      <c r="H46" s="112" t="s">
        <v>183</v>
      </c>
      <c r="I46" s="112"/>
      <c r="J46" s="112" t="s">
        <v>598</v>
      </c>
      <c r="K46" s="112"/>
      <c r="L46" s="112"/>
      <c r="M46" s="112"/>
      <c r="N46" s="112" t="s">
        <v>608</v>
      </c>
      <c r="O46" s="112"/>
      <c r="P46" s="112"/>
      <c r="Q46" s="112" t="s">
        <v>633</v>
      </c>
      <c r="R46" s="112"/>
      <c r="S46" s="112"/>
      <c r="T46" s="112"/>
      <c r="U46" s="112"/>
      <c r="V46" s="112"/>
      <c r="W46" s="112"/>
      <c r="X46" s="112"/>
      <c r="Y46" s="112"/>
      <c r="Z46" s="112"/>
      <c r="AA46" s="112"/>
      <c r="AB46" s="112"/>
    </row>
    <row r="47" spans="1:28" x14ac:dyDescent="0.25">
      <c r="D47" s="112" t="s">
        <v>381</v>
      </c>
      <c r="E47" s="112"/>
      <c r="F47" s="112"/>
      <c r="G47" s="187" t="s">
        <v>570</v>
      </c>
      <c r="H47" s="112" t="s">
        <v>608</v>
      </c>
      <c r="I47" s="112"/>
      <c r="J47" s="112" t="s">
        <v>599</v>
      </c>
      <c r="K47" s="112"/>
      <c r="L47" s="112"/>
      <c r="M47" s="112"/>
      <c r="N47" s="112" t="s">
        <v>609</v>
      </c>
      <c r="O47" s="112"/>
      <c r="P47" s="112"/>
      <c r="Q47" s="112" t="s">
        <v>634</v>
      </c>
      <c r="R47" s="112"/>
      <c r="S47" s="112"/>
      <c r="T47" s="112"/>
      <c r="U47" s="112"/>
      <c r="V47" s="112"/>
      <c r="W47" s="112"/>
      <c r="X47" s="112"/>
      <c r="Y47" s="112"/>
      <c r="Z47" s="112"/>
      <c r="AA47" s="112"/>
      <c r="AB47" s="112"/>
    </row>
    <row r="48" spans="1:28" x14ac:dyDescent="0.25">
      <c r="D48" s="112" t="s">
        <v>382</v>
      </c>
      <c r="E48" s="112"/>
      <c r="F48" s="112"/>
      <c r="G48" s="187" t="s">
        <v>483</v>
      </c>
      <c r="H48" s="112"/>
      <c r="I48" s="112"/>
      <c r="J48" s="112" t="s">
        <v>611</v>
      </c>
      <c r="K48" s="112"/>
      <c r="L48" s="112"/>
      <c r="M48" s="112"/>
      <c r="N48" s="112"/>
      <c r="O48" s="112"/>
      <c r="P48" s="112"/>
      <c r="Q48" s="112" t="s">
        <v>635</v>
      </c>
      <c r="R48" s="112"/>
      <c r="S48" s="112"/>
      <c r="T48" s="112"/>
      <c r="U48" s="112"/>
      <c r="V48" s="112"/>
      <c r="W48" s="112"/>
      <c r="X48" s="112"/>
      <c r="Y48" s="112"/>
      <c r="Z48" s="112"/>
      <c r="AA48" s="112"/>
      <c r="AB48" s="112"/>
    </row>
    <row r="49" spans="4:28" x14ac:dyDescent="0.25">
      <c r="D49" s="112"/>
      <c r="E49" s="112"/>
      <c r="F49" s="112"/>
      <c r="G49" s="187" t="s">
        <v>571</v>
      </c>
      <c r="H49" s="112"/>
      <c r="I49" s="112"/>
      <c r="J49" s="112"/>
      <c r="K49" s="112"/>
      <c r="L49" s="112"/>
      <c r="M49" s="112"/>
      <c r="N49" s="112"/>
      <c r="O49" s="112"/>
      <c r="P49" s="112"/>
      <c r="Q49" s="112"/>
      <c r="R49" s="112"/>
      <c r="S49" s="112"/>
      <c r="T49" s="112"/>
      <c r="U49" s="112"/>
      <c r="V49" s="112"/>
      <c r="W49" s="112"/>
      <c r="X49" s="112"/>
      <c r="Y49" s="112"/>
      <c r="Z49" s="112"/>
      <c r="AA49" s="112"/>
      <c r="AB49" s="112"/>
    </row>
    <row r="50" spans="4:28" x14ac:dyDescent="0.25">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row>
    <row r="51" spans="4:28" x14ac:dyDescent="0.25">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row>
    <row r="52" spans="4:28" x14ac:dyDescent="0.25">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row>
    <row r="53" spans="4:28" x14ac:dyDescent="0.25">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row>
    <row r="54" spans="4:28" x14ac:dyDescent="0.25">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row>
    <row r="55" spans="4:28" x14ac:dyDescent="0.25">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row>
    <row r="56" spans="4:28" x14ac:dyDescent="0.25">
      <c r="D56" s="112"/>
      <c r="E56" s="112"/>
      <c r="F56" s="110" t="s">
        <v>246</v>
      </c>
      <c r="G56" s="112"/>
      <c r="H56" s="110" t="s">
        <v>539</v>
      </c>
      <c r="I56" s="112"/>
      <c r="J56" s="112"/>
      <c r="K56" s="112"/>
      <c r="L56" s="112"/>
      <c r="M56" s="112"/>
      <c r="N56" s="112"/>
      <c r="O56" s="112"/>
      <c r="P56" s="112"/>
      <c r="Q56" s="112"/>
      <c r="R56" s="112"/>
      <c r="S56" s="112"/>
      <c r="T56" s="112"/>
      <c r="U56" s="112"/>
      <c r="V56" s="112"/>
      <c r="W56" s="112"/>
      <c r="X56" s="112"/>
      <c r="Y56" s="112"/>
      <c r="Z56" s="112"/>
      <c r="AA56" s="112"/>
      <c r="AB56" s="112"/>
    </row>
    <row r="57" spans="4:28" x14ac:dyDescent="0.25">
      <c r="D57" s="112"/>
      <c r="E57" s="112"/>
      <c r="F57" s="112"/>
      <c r="G57" s="112"/>
      <c r="H57" s="112" t="s">
        <v>383</v>
      </c>
      <c r="I57" s="112"/>
      <c r="J57" s="112"/>
      <c r="K57" s="112"/>
      <c r="L57" s="112"/>
      <c r="M57" s="112"/>
      <c r="N57" s="112"/>
      <c r="O57" s="112"/>
      <c r="P57" s="112"/>
      <c r="Q57" s="112"/>
      <c r="R57" s="112"/>
      <c r="S57" s="112"/>
      <c r="T57" s="112"/>
      <c r="U57" s="112"/>
      <c r="V57" s="112"/>
      <c r="W57" s="112"/>
      <c r="X57" s="112"/>
      <c r="Y57" s="112"/>
      <c r="Z57" s="112"/>
      <c r="AA57" s="112"/>
      <c r="AB57" s="112"/>
    </row>
    <row r="58" spans="4:28" x14ac:dyDescent="0.25">
      <c r="D58" s="112"/>
      <c r="E58" s="112"/>
      <c r="F58" s="112" t="s">
        <v>247</v>
      </c>
      <c r="G58" s="112"/>
      <c r="H58" s="112" t="s">
        <v>540</v>
      </c>
      <c r="I58" s="112"/>
      <c r="J58" s="112"/>
      <c r="K58" s="112"/>
      <c r="L58" s="112"/>
      <c r="M58" s="112"/>
      <c r="N58" s="112"/>
      <c r="O58" s="112"/>
      <c r="P58" s="112"/>
      <c r="Q58" s="112"/>
      <c r="R58" s="112"/>
      <c r="S58" s="112"/>
      <c r="T58" s="112"/>
      <c r="U58" s="112"/>
      <c r="V58" s="112"/>
      <c r="W58" s="112"/>
      <c r="X58" s="112"/>
      <c r="Y58" s="112"/>
      <c r="Z58" s="112"/>
      <c r="AA58" s="112"/>
      <c r="AB58" s="112"/>
    </row>
    <row r="59" spans="4:28" x14ac:dyDescent="0.25">
      <c r="D59" s="112"/>
      <c r="E59" s="112"/>
      <c r="F59" s="112" t="s">
        <v>248</v>
      </c>
      <c r="G59" s="112"/>
      <c r="H59" s="112"/>
      <c r="I59" s="112"/>
      <c r="J59" s="112"/>
      <c r="K59" s="112"/>
      <c r="L59" s="112"/>
      <c r="M59" s="112"/>
      <c r="N59" s="112"/>
      <c r="O59" s="112"/>
      <c r="P59" s="112"/>
      <c r="Q59" s="112"/>
      <c r="R59" s="112"/>
      <c r="S59" s="112"/>
      <c r="T59" s="112"/>
      <c r="U59" s="112"/>
      <c r="V59" s="112"/>
      <c r="W59" s="112"/>
      <c r="X59" s="112"/>
      <c r="Y59" s="112"/>
      <c r="Z59" s="112"/>
      <c r="AA59" s="112"/>
      <c r="AB59" s="112"/>
    </row>
    <row r="60" spans="4:28" x14ac:dyDescent="0.25">
      <c r="D60" s="112"/>
      <c r="E60" s="112"/>
      <c r="F60" s="112" t="s">
        <v>249</v>
      </c>
      <c r="G60" s="112"/>
      <c r="H60" s="112"/>
      <c r="I60" s="112"/>
      <c r="J60" s="112"/>
      <c r="K60" s="112"/>
      <c r="L60" s="112"/>
      <c r="M60" s="112"/>
      <c r="N60" s="112"/>
      <c r="O60" s="112"/>
      <c r="P60" s="112"/>
      <c r="Q60" s="112"/>
      <c r="R60" s="112"/>
      <c r="S60" s="112"/>
      <c r="T60" s="112"/>
      <c r="U60" s="112"/>
      <c r="V60" s="112"/>
      <c r="W60" s="112"/>
      <c r="X60" s="112"/>
      <c r="Y60" s="112"/>
      <c r="Z60" s="112"/>
      <c r="AA60" s="112"/>
      <c r="AB60" s="112"/>
    </row>
    <row r="61" spans="4:28" x14ac:dyDescent="0.25">
      <c r="D61" s="112"/>
      <c r="E61" s="112"/>
      <c r="F61" s="112" t="s">
        <v>250</v>
      </c>
      <c r="G61" s="112"/>
      <c r="H61" s="112"/>
      <c r="I61" s="112"/>
      <c r="J61" s="112"/>
      <c r="K61" s="112"/>
      <c r="L61" s="112"/>
      <c r="M61" s="112"/>
      <c r="N61" s="112"/>
      <c r="O61" s="112"/>
      <c r="P61" s="112"/>
      <c r="Q61" s="112"/>
      <c r="R61" s="112"/>
      <c r="S61" s="112"/>
      <c r="T61" s="112"/>
      <c r="U61" s="112"/>
      <c r="V61" s="112"/>
      <c r="W61" s="112"/>
      <c r="X61" s="112"/>
      <c r="Y61" s="112"/>
      <c r="Z61" s="112"/>
      <c r="AA61" s="112"/>
      <c r="AB61" s="112"/>
    </row>
    <row r="62" spans="4:28" x14ac:dyDescent="0.25">
      <c r="D62" s="112"/>
      <c r="E62" s="112"/>
      <c r="F62" s="112" t="s">
        <v>251</v>
      </c>
      <c r="G62" s="112"/>
      <c r="H62" s="112"/>
      <c r="I62" s="112"/>
      <c r="J62" s="112"/>
      <c r="K62" s="112"/>
      <c r="L62" s="112"/>
      <c r="M62" s="112"/>
      <c r="N62" s="112"/>
      <c r="O62" s="112"/>
      <c r="P62" s="112"/>
      <c r="Q62" s="112"/>
      <c r="R62" s="112"/>
      <c r="S62" s="112"/>
      <c r="T62" s="112"/>
      <c r="U62" s="112"/>
      <c r="V62" s="112"/>
      <c r="W62" s="112"/>
      <c r="X62" s="112"/>
      <c r="Y62" s="112"/>
      <c r="Z62" s="112"/>
      <c r="AA62" s="112"/>
      <c r="AB62" s="112"/>
    </row>
    <row r="63" spans="4:28" x14ac:dyDescent="0.25">
      <c r="D63" s="112"/>
      <c r="E63" s="112"/>
      <c r="F63" s="112" t="s">
        <v>185</v>
      </c>
      <c r="G63" s="112"/>
      <c r="H63" s="112"/>
      <c r="I63" s="112"/>
      <c r="J63" s="112"/>
      <c r="K63" s="112"/>
      <c r="L63" s="112"/>
      <c r="M63" s="112"/>
      <c r="N63" s="112"/>
      <c r="O63" s="112"/>
      <c r="P63" s="112"/>
      <c r="Q63" s="112"/>
      <c r="R63" s="112"/>
      <c r="S63" s="112"/>
      <c r="T63" s="112"/>
      <c r="U63" s="112"/>
      <c r="V63" s="112"/>
      <c r="W63" s="112"/>
      <c r="X63" s="112"/>
      <c r="Y63" s="112"/>
      <c r="Z63" s="112"/>
      <c r="AA63" s="112"/>
      <c r="AB63" s="112"/>
    </row>
    <row r="64" spans="4:28" x14ac:dyDescent="0.25">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row>
    <row r="65" spans="4:28" x14ac:dyDescent="0.25">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row>
    <row r="66" spans="4:28" x14ac:dyDescent="0.25">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row>
    <row r="67" spans="4:28" x14ac:dyDescent="0.25">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row>
    <row r="68" spans="4:28" x14ac:dyDescent="0.25">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row>
    <row r="69" spans="4:28" x14ac:dyDescent="0.25">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row>
    <row r="70" spans="4:28" x14ac:dyDescent="0.25">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row>
    <row r="71" spans="4:28" x14ac:dyDescent="0.25">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row>
    <row r="72" spans="4:28" x14ac:dyDescent="0.25">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row>
    <row r="73" spans="4:28" x14ac:dyDescent="0.25">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row>
    <row r="74" spans="4:28" x14ac:dyDescent="0.25">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row>
    <row r="75" spans="4:28" x14ac:dyDescent="0.25">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row>
    <row r="76" spans="4:28" x14ac:dyDescent="0.25">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row>
    <row r="77" spans="4:28" x14ac:dyDescent="0.25">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row>
    <row r="78" spans="4:28" x14ac:dyDescent="0.25">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row>
    <row r="79" spans="4:28" x14ac:dyDescent="0.25">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row>
    <row r="80" spans="4:28" x14ac:dyDescent="0.25">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row>
    <row r="81" spans="4:28" x14ac:dyDescent="0.25">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row>
    <row r="82" spans="4:28" x14ac:dyDescent="0.25">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row>
    <row r="83" spans="4:28" x14ac:dyDescent="0.25">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row>
    <row r="84" spans="4:28" x14ac:dyDescent="0.25">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row>
    <row r="85" spans="4:28" x14ac:dyDescent="0.25">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row>
    <row r="86" spans="4:28" x14ac:dyDescent="0.25">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row>
    <row r="87" spans="4:28" x14ac:dyDescent="0.25">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row>
    <row r="88" spans="4:28" x14ac:dyDescent="0.25">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row>
    <row r="89" spans="4:28" x14ac:dyDescent="0.25">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row>
    <row r="90" spans="4:28" x14ac:dyDescent="0.25">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row>
    <row r="91" spans="4:28" x14ac:dyDescent="0.25">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row>
    <row r="92" spans="4:28" x14ac:dyDescent="0.25">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row>
    <row r="93" spans="4:28" x14ac:dyDescent="0.25">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row>
    <row r="94" spans="4:28" x14ac:dyDescent="0.25">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row>
    <row r="95" spans="4:28" x14ac:dyDescent="0.25">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row>
    <row r="96" spans="4:28" x14ac:dyDescent="0.25">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row>
    <row r="97" spans="4:28" x14ac:dyDescent="0.25">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row>
    <row r="98" spans="4:28" x14ac:dyDescent="0.25">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row>
    <row r="99" spans="4:28" x14ac:dyDescent="0.25">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row>
    <row r="100" spans="4:28" x14ac:dyDescent="0.25">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row>
    <row r="101" spans="4:28" x14ac:dyDescent="0.25">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row>
    <row r="102" spans="4:28" x14ac:dyDescent="0.25">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row>
    <row r="103" spans="4:28" x14ac:dyDescent="0.25">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row>
    <row r="104" spans="4:28" x14ac:dyDescent="0.25">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row>
    <row r="105" spans="4:28" x14ac:dyDescent="0.25">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row>
    <row r="106" spans="4:28" x14ac:dyDescent="0.25">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row>
    <row r="107" spans="4:28" x14ac:dyDescent="0.25">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row>
    <row r="108" spans="4:28" x14ac:dyDescent="0.25">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row>
    <row r="109" spans="4:28" x14ac:dyDescent="0.25">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row>
    <row r="110" spans="4:28" x14ac:dyDescent="0.25">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row>
    <row r="111" spans="4:28" x14ac:dyDescent="0.25">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row>
    <row r="112" spans="4:28" x14ac:dyDescent="0.25">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row>
    <row r="113" spans="4:28" x14ac:dyDescent="0.25">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row>
    <row r="114" spans="4:28" x14ac:dyDescent="0.25">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row>
    <row r="115" spans="4:28" x14ac:dyDescent="0.25">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row>
    <row r="116" spans="4:28" x14ac:dyDescent="0.25">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row>
    <row r="117" spans="4:28" x14ac:dyDescent="0.25">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row>
    <row r="118" spans="4:28" x14ac:dyDescent="0.25">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row>
    <row r="119" spans="4:28" x14ac:dyDescent="0.25">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row>
    <row r="120" spans="4:28" x14ac:dyDescent="0.25">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row>
    <row r="121" spans="4:28" x14ac:dyDescent="0.25">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row>
    <row r="122" spans="4:28" x14ac:dyDescent="0.25">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row>
    <row r="123" spans="4:28" x14ac:dyDescent="0.25">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row>
    <row r="124" spans="4:28" x14ac:dyDescent="0.25">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row>
    <row r="125" spans="4:28" x14ac:dyDescent="0.25">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row>
    <row r="126" spans="4:28" x14ac:dyDescent="0.25">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row>
    <row r="127" spans="4:28" x14ac:dyDescent="0.25">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row>
    <row r="128" spans="4:28" x14ac:dyDescent="0.25">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row>
    <row r="129" spans="4:28" x14ac:dyDescent="0.25">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row>
    <row r="130" spans="4:28" x14ac:dyDescent="0.25">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row>
    <row r="131" spans="4:28" x14ac:dyDescent="0.25">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row>
    <row r="132" spans="4:28" x14ac:dyDescent="0.25">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row>
    <row r="133" spans="4:28" x14ac:dyDescent="0.25">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row>
    <row r="134" spans="4:28" x14ac:dyDescent="0.25">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row>
    <row r="135" spans="4:28" x14ac:dyDescent="0.25">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row>
    <row r="136" spans="4:28" x14ac:dyDescent="0.25">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row>
    <row r="137" spans="4:28" x14ac:dyDescent="0.25">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row>
    <row r="138" spans="4:28" x14ac:dyDescent="0.25">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row>
    <row r="139" spans="4:28" x14ac:dyDescent="0.25">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row>
    <row r="140" spans="4:28" x14ac:dyDescent="0.25">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row>
    <row r="141" spans="4:28" x14ac:dyDescent="0.25">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row>
    <row r="142" spans="4:28" x14ac:dyDescent="0.25">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row>
    <row r="143" spans="4:28" x14ac:dyDescent="0.25">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row>
    <row r="144" spans="4:28" x14ac:dyDescent="0.25">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row>
    <row r="145" spans="4:28" x14ac:dyDescent="0.25">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row>
    <row r="146" spans="4:28" x14ac:dyDescent="0.25">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row>
    <row r="147" spans="4:28" x14ac:dyDescent="0.25">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row>
    <row r="148" spans="4:28" x14ac:dyDescent="0.25">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row>
    <row r="149" spans="4:28" x14ac:dyDescent="0.25">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row>
    <row r="150" spans="4:28" x14ac:dyDescent="0.25">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row>
    <row r="151" spans="4:28" x14ac:dyDescent="0.25">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row>
    <row r="152" spans="4:28" x14ac:dyDescent="0.25">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row>
    <row r="153" spans="4:28" x14ac:dyDescent="0.25">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row>
    <row r="154" spans="4:28" x14ac:dyDescent="0.25">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row>
    <row r="155" spans="4:28" x14ac:dyDescent="0.25">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row>
    <row r="156" spans="4:28" x14ac:dyDescent="0.25">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row>
    <row r="157" spans="4:28" x14ac:dyDescent="0.25">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row>
    <row r="158" spans="4:28" x14ac:dyDescent="0.25">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row>
    <row r="159" spans="4:28" x14ac:dyDescent="0.25">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row>
    <row r="160" spans="4:28" x14ac:dyDescent="0.25">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row>
    <row r="161" spans="4:28" x14ac:dyDescent="0.25">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row>
    <row r="162" spans="4:28" x14ac:dyDescent="0.25">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row>
    <row r="163" spans="4:28" x14ac:dyDescent="0.25">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row>
    <row r="164" spans="4:28" x14ac:dyDescent="0.25">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row>
    <row r="165" spans="4:28" x14ac:dyDescent="0.25">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row>
    <row r="166" spans="4:28" x14ac:dyDescent="0.25">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row>
    <row r="167" spans="4:28" x14ac:dyDescent="0.25">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row>
    <row r="168" spans="4:28" x14ac:dyDescent="0.25">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row>
    <row r="169" spans="4:28" x14ac:dyDescent="0.25">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row>
    <row r="170" spans="4:28" x14ac:dyDescent="0.25">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row>
    <row r="171" spans="4:28" x14ac:dyDescent="0.25">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row>
    <row r="172" spans="4:28" x14ac:dyDescent="0.25">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row>
    <row r="173" spans="4:28" x14ac:dyDescent="0.25">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row>
    <row r="174" spans="4:28" x14ac:dyDescent="0.25">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row>
    <row r="175" spans="4:28" x14ac:dyDescent="0.25">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row>
    <row r="176" spans="4:28" x14ac:dyDescent="0.25">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row>
    <row r="177" spans="4:28" x14ac:dyDescent="0.25">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row>
    <row r="178" spans="4:28" x14ac:dyDescent="0.25">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row>
    <row r="179" spans="4:28" x14ac:dyDescent="0.25">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row>
    <row r="180" spans="4:28" x14ac:dyDescent="0.25">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row>
    <row r="181" spans="4:28" x14ac:dyDescent="0.25">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row>
    <row r="182" spans="4:28" x14ac:dyDescent="0.25">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row>
    <row r="183" spans="4:28" x14ac:dyDescent="0.25">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row>
    <row r="184" spans="4:28" x14ac:dyDescent="0.25">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row>
    <row r="185" spans="4:28" x14ac:dyDescent="0.25">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row>
    <row r="186" spans="4:28" x14ac:dyDescent="0.25">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row>
    <row r="187" spans="4:28" x14ac:dyDescent="0.25">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row>
    <row r="188" spans="4:28" x14ac:dyDescent="0.25">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row>
    <row r="189" spans="4:28" x14ac:dyDescent="0.25">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row>
    <row r="190" spans="4:28" x14ac:dyDescent="0.25">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row>
    <row r="191" spans="4:28" x14ac:dyDescent="0.25">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row>
    <row r="192" spans="4:28" x14ac:dyDescent="0.25">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row>
    <row r="193" spans="4:28" x14ac:dyDescent="0.25">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row>
    <row r="194" spans="4:28" x14ac:dyDescent="0.25">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row>
    <row r="195" spans="4:28" x14ac:dyDescent="0.25">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row>
    <row r="196" spans="4:28" x14ac:dyDescent="0.25">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row>
    <row r="197" spans="4:28" x14ac:dyDescent="0.25">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row>
    <row r="198" spans="4:28" x14ac:dyDescent="0.25">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row>
    <row r="199" spans="4:28" x14ac:dyDescent="0.25">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row>
    <row r="200" spans="4:28" x14ac:dyDescent="0.25">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row>
    <row r="201" spans="4:28" x14ac:dyDescent="0.25">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row>
    <row r="202" spans="4:28" x14ac:dyDescent="0.25">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row>
    <row r="203" spans="4:28" x14ac:dyDescent="0.25">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row>
    <row r="204" spans="4:28" x14ac:dyDescent="0.25">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row>
    <row r="205" spans="4:28" x14ac:dyDescent="0.25">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row>
    <row r="206" spans="4:28" x14ac:dyDescent="0.25">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row>
    <row r="207" spans="4:28" x14ac:dyDescent="0.25">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row>
    <row r="208" spans="4:28" x14ac:dyDescent="0.25">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row>
    <row r="209" spans="4:28" x14ac:dyDescent="0.25">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row>
    <row r="210" spans="4:28" x14ac:dyDescent="0.25">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row>
    <row r="211" spans="4:28" x14ac:dyDescent="0.25">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row>
    <row r="212" spans="4:28" x14ac:dyDescent="0.25">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row>
    <row r="213" spans="4:28" x14ac:dyDescent="0.25">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row>
    <row r="214" spans="4:28" x14ac:dyDescent="0.25">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row>
    <row r="215" spans="4:28" x14ac:dyDescent="0.25">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row>
    <row r="216" spans="4:28" x14ac:dyDescent="0.25">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row>
    <row r="217" spans="4:28" x14ac:dyDescent="0.25">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row>
    <row r="218" spans="4:28" x14ac:dyDescent="0.25">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row>
    <row r="219" spans="4:28" x14ac:dyDescent="0.25">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row>
    <row r="220" spans="4:28" x14ac:dyDescent="0.25">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row>
    <row r="221" spans="4:28" x14ac:dyDescent="0.25">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row>
    <row r="222" spans="4:28" x14ac:dyDescent="0.25">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row>
    <row r="223" spans="4:28" x14ac:dyDescent="0.25">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row>
    <row r="224" spans="4:28" x14ac:dyDescent="0.25">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row>
    <row r="225" spans="4:28" x14ac:dyDescent="0.25">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row>
    <row r="226" spans="4:28" x14ac:dyDescent="0.25">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row>
    <row r="227" spans="4:28" x14ac:dyDescent="0.25">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row>
    <row r="228" spans="4:28" x14ac:dyDescent="0.25">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row>
    <row r="229" spans="4:28" x14ac:dyDescent="0.25">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row>
    <row r="230" spans="4:28" x14ac:dyDescent="0.25">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row>
    <row r="231" spans="4:28" x14ac:dyDescent="0.25">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row>
    <row r="232" spans="4:28" x14ac:dyDescent="0.25">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row>
    <row r="233" spans="4:28" x14ac:dyDescent="0.25">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row>
    <row r="234" spans="4:28" x14ac:dyDescent="0.25">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row>
    <row r="235" spans="4:28" x14ac:dyDescent="0.25">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row>
    <row r="236" spans="4:28" x14ac:dyDescent="0.25">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row>
    <row r="237" spans="4:28" x14ac:dyDescent="0.25">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row>
    <row r="238" spans="4:28" x14ac:dyDescent="0.25">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row>
    <row r="239" spans="4:28" x14ac:dyDescent="0.25">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row>
    <row r="240" spans="4:28" x14ac:dyDescent="0.25">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row>
    <row r="241" spans="4:28" x14ac:dyDescent="0.25">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row>
    <row r="242" spans="4:28" x14ac:dyDescent="0.25">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row>
    <row r="243" spans="4:28" x14ac:dyDescent="0.25">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row>
    <row r="244" spans="4:28" x14ac:dyDescent="0.25">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row>
    <row r="245" spans="4:28" x14ac:dyDescent="0.25">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row>
    <row r="246" spans="4:28" x14ac:dyDescent="0.25">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row>
    <row r="247" spans="4:28" x14ac:dyDescent="0.25">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row>
    <row r="248" spans="4:28" x14ac:dyDescent="0.25">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row>
    <row r="249" spans="4:28" x14ac:dyDescent="0.25">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row>
    <row r="250" spans="4:28" x14ac:dyDescent="0.25">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row>
    <row r="251" spans="4:28" x14ac:dyDescent="0.25">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row>
    <row r="252" spans="4:28" x14ac:dyDescent="0.25">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row>
    <row r="253" spans="4:28" x14ac:dyDescent="0.25">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row>
    <row r="254" spans="4:28" x14ac:dyDescent="0.25">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row>
    <row r="255" spans="4:28" x14ac:dyDescent="0.25">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row>
    <row r="256" spans="4:28" x14ac:dyDescent="0.25">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row>
    <row r="257" spans="4:28" x14ac:dyDescent="0.25">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row>
    <row r="258" spans="4:28" x14ac:dyDescent="0.25">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row>
    <row r="259" spans="4:28" x14ac:dyDescent="0.25">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row>
    <row r="260" spans="4:28" x14ac:dyDescent="0.25">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row>
    <row r="261" spans="4:28" x14ac:dyDescent="0.25">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row>
    <row r="262" spans="4:28" x14ac:dyDescent="0.25">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row>
    <row r="263" spans="4:28" x14ac:dyDescent="0.25">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row>
    <row r="264" spans="4:28" x14ac:dyDescent="0.25">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row>
    <row r="265" spans="4:28" x14ac:dyDescent="0.25">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row>
    <row r="266" spans="4:28" x14ac:dyDescent="0.25">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row>
    <row r="267" spans="4:28" x14ac:dyDescent="0.25">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row>
    <row r="268" spans="4:28" x14ac:dyDescent="0.25">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row>
    <row r="269" spans="4:28" x14ac:dyDescent="0.25">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row>
    <row r="270" spans="4:28" x14ac:dyDescent="0.25">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row>
    <row r="271" spans="4:28" x14ac:dyDescent="0.25">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row>
    <row r="272" spans="4:28" x14ac:dyDescent="0.25">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row>
    <row r="273" spans="4:28" x14ac:dyDescent="0.25">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row>
    <row r="274" spans="4:28" x14ac:dyDescent="0.25">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row>
    <row r="275" spans="4:28" x14ac:dyDescent="0.25">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row>
    <row r="276" spans="4:28" x14ac:dyDescent="0.25">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row>
    <row r="277" spans="4:28" x14ac:dyDescent="0.25">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row>
    <row r="278" spans="4:28" x14ac:dyDescent="0.25">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row>
    <row r="279" spans="4:28" x14ac:dyDescent="0.25">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row>
    <row r="280" spans="4:28" x14ac:dyDescent="0.25">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row>
    <row r="281" spans="4:28" x14ac:dyDescent="0.25">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row>
    <row r="282" spans="4:28" x14ac:dyDescent="0.25">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row>
    <row r="283" spans="4:28" x14ac:dyDescent="0.25">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row>
    <row r="284" spans="4:28" x14ac:dyDescent="0.25">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row>
    <row r="285" spans="4:28" x14ac:dyDescent="0.25">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row>
    <row r="286" spans="4:28" x14ac:dyDescent="0.25">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row>
    <row r="287" spans="4:28" x14ac:dyDescent="0.25">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row>
    <row r="288" spans="4:28" x14ac:dyDescent="0.25">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row>
    <row r="289" spans="4:28" x14ac:dyDescent="0.25">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row>
    <row r="290" spans="4:28" x14ac:dyDescent="0.25">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row>
    <row r="291" spans="4:28" x14ac:dyDescent="0.25">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row>
    <row r="292" spans="4:28" x14ac:dyDescent="0.25">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row>
    <row r="293" spans="4:28" x14ac:dyDescent="0.25">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row>
    <row r="294" spans="4:28" x14ac:dyDescent="0.25">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row>
    <row r="295" spans="4:28" x14ac:dyDescent="0.25">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row>
    <row r="296" spans="4:28" x14ac:dyDescent="0.25">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row>
    <row r="297" spans="4:28" x14ac:dyDescent="0.25">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row>
    <row r="298" spans="4:28" x14ac:dyDescent="0.25">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row>
    <row r="299" spans="4:28" x14ac:dyDescent="0.25">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row>
    <row r="300" spans="4:28" x14ac:dyDescent="0.25">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row>
    <row r="301" spans="4:28" x14ac:dyDescent="0.25">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row>
    <row r="302" spans="4:28" x14ac:dyDescent="0.25">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row>
    <row r="303" spans="4:28" x14ac:dyDescent="0.25">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row>
    <row r="304" spans="4:28" x14ac:dyDescent="0.25">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row>
    <row r="305" spans="4:28" x14ac:dyDescent="0.25">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row>
    <row r="306" spans="4:28" x14ac:dyDescent="0.25">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row>
    <row r="307" spans="4:28" x14ac:dyDescent="0.25">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row>
    <row r="308" spans="4:28" x14ac:dyDescent="0.25">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row>
    <row r="309" spans="4:28" x14ac:dyDescent="0.25">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row>
    <row r="310" spans="4:28" x14ac:dyDescent="0.25">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row>
    <row r="311" spans="4:28" x14ac:dyDescent="0.25">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row>
    <row r="312" spans="4:28" x14ac:dyDescent="0.25">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row>
    <row r="313" spans="4:28" x14ac:dyDescent="0.25">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row>
    <row r="314" spans="4:28" x14ac:dyDescent="0.25">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row>
    <row r="315" spans="4:28" x14ac:dyDescent="0.25">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row>
    <row r="316" spans="4:28" x14ac:dyDescent="0.25">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row>
    <row r="317" spans="4:28" x14ac:dyDescent="0.25">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row>
    <row r="318" spans="4:28" x14ac:dyDescent="0.25">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row>
    <row r="319" spans="4:28" x14ac:dyDescent="0.25">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row>
    <row r="320" spans="4:28" x14ac:dyDescent="0.25">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row>
    <row r="321" spans="4:28" x14ac:dyDescent="0.25">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row>
    <row r="322" spans="4:28" x14ac:dyDescent="0.25">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row>
    <row r="323" spans="4:28" x14ac:dyDescent="0.25">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row>
    <row r="324" spans="4:28" x14ac:dyDescent="0.25">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row>
    <row r="325" spans="4:28" x14ac:dyDescent="0.25">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row>
    <row r="326" spans="4:28" x14ac:dyDescent="0.25">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row>
    <row r="327" spans="4:28" x14ac:dyDescent="0.25">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row>
    <row r="328" spans="4:28" x14ac:dyDescent="0.25">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row>
    <row r="329" spans="4:28" x14ac:dyDescent="0.25">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row>
    <row r="330" spans="4:28" x14ac:dyDescent="0.25">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row>
    <row r="331" spans="4:28" x14ac:dyDescent="0.25">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row>
    <row r="332" spans="4:28" x14ac:dyDescent="0.25">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row>
    <row r="333" spans="4:28" x14ac:dyDescent="0.25">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row>
    <row r="334" spans="4:28" x14ac:dyDescent="0.25">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row>
    <row r="335" spans="4:28" x14ac:dyDescent="0.25">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row>
    <row r="336" spans="4:28" x14ac:dyDescent="0.25">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row>
    <row r="337" spans="4:28" x14ac:dyDescent="0.25">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row>
    <row r="338" spans="4:28" x14ac:dyDescent="0.25">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row>
    <row r="339" spans="4:28" x14ac:dyDescent="0.25">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row>
    <row r="340" spans="4:28" x14ac:dyDescent="0.25">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row>
    <row r="341" spans="4:28" x14ac:dyDescent="0.25">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row>
    <row r="342" spans="4:28" x14ac:dyDescent="0.25">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row>
    <row r="343" spans="4:28" x14ac:dyDescent="0.25">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row>
    <row r="344" spans="4:28" x14ac:dyDescent="0.25">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row>
    <row r="345" spans="4:28" x14ac:dyDescent="0.25">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row>
    <row r="346" spans="4:28" x14ac:dyDescent="0.25">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row>
    <row r="347" spans="4:28" x14ac:dyDescent="0.25">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row>
    <row r="348" spans="4:28" x14ac:dyDescent="0.25">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row>
    <row r="349" spans="4:28" x14ac:dyDescent="0.25">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row>
    <row r="350" spans="4:28" x14ac:dyDescent="0.25">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row>
    <row r="351" spans="4:28" x14ac:dyDescent="0.25">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row>
    <row r="352" spans="4:28" x14ac:dyDescent="0.25">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row>
    <row r="353" spans="4:28" x14ac:dyDescent="0.25">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row>
    <row r="354" spans="4:28" x14ac:dyDescent="0.25">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row>
    <row r="355" spans="4:28" x14ac:dyDescent="0.25">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row>
  </sheetData>
  <sheetProtection password="EA8D" sheet="1" objects="1" scenarios="1"/>
  <mergeCells count="1">
    <mergeCell ref="A30:C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6</vt:i4>
      </vt:variant>
    </vt:vector>
  </HeadingPairs>
  <TitlesOfParts>
    <vt:vector size="18" baseType="lpstr">
      <vt:lpstr>Övrigt</vt:lpstr>
      <vt:lpstr>Indata Fjärrvärme</vt:lpstr>
      <vt:lpstr>Instruktioner (börja här)</vt:lpstr>
      <vt:lpstr>Växthusgasberäkning</vt:lpstr>
      <vt:lpstr>Resultat</vt:lpstr>
      <vt:lpstr>Indata old</vt:lpstr>
      <vt:lpstr>Typmodell</vt:lpstr>
      <vt:lpstr>Indata</vt:lpstr>
      <vt:lpstr>Tabelldata</vt:lpstr>
      <vt:lpstr>Indata-Transportbränslen</vt:lpstr>
      <vt:lpstr>Beräkning lagring</vt:lpstr>
      <vt:lpstr>Beräkning överskottsel</vt:lpstr>
      <vt:lpstr>'Instruktioner (börja här)'!_ftn1</vt:lpstr>
      <vt:lpstr>'Instruktioner (börja här)'!_ftnref1</vt:lpstr>
      <vt:lpstr>Koldioxid</vt:lpstr>
      <vt:lpstr>Lustgas</vt:lpstr>
      <vt:lpstr>Metan</vt:lpstr>
      <vt:lpstr>'Instruktioner (börja här)'!OLE_LINK1</vt:lpstr>
    </vt:vector>
  </TitlesOfParts>
  <Company>IVL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Höglund</dc:creator>
  <cp:lastModifiedBy>Linn Marjamäki</cp:lastModifiedBy>
  <cp:lastPrinted>2011-12-06T12:29:28Z</cp:lastPrinted>
  <dcterms:created xsi:type="dcterms:W3CDTF">2011-09-20T13:46:06Z</dcterms:created>
  <dcterms:modified xsi:type="dcterms:W3CDTF">2015-08-19T13:11:02Z</dcterms:modified>
</cp:coreProperties>
</file>