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drawings/drawing23.xml" ContentType="application/vnd.openxmlformats-officedocument.drawing+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ustomProperty2.bin" ContentType="application/vnd.openxmlformats-officedocument.spreadsheetml.customProperty"/>
  <Override PartName="/xl/customProperty3.bin" ContentType="application/vnd.openxmlformats-officedocument.spreadsheetml.customProperty"/>
  <Override PartName="/xl/drawings/drawing28.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drawings/drawing30.xml" ContentType="application/vnd.openxmlformats-officedocument.drawing+xml"/>
  <Override PartName="/xl/charts/chart32.xml" ContentType="application/vnd.openxmlformats-officedocument.drawingml.chart+xml"/>
  <Override PartName="/xl/drawings/drawing31.xml" ContentType="application/vnd.openxmlformats-officedocument.drawing+xml"/>
  <Override PartName="/xl/charts/chart33.xml" ContentType="application/vnd.openxmlformats-officedocument.drawingml.chart+xml"/>
  <Override PartName="/xl/drawings/drawing32.xml" ContentType="application/vnd.openxmlformats-officedocument.drawing+xml"/>
  <Override PartName="/xl/charts/chart34.xml" ContentType="application/vnd.openxmlformats-officedocument.drawingml.chart+xml"/>
  <Override PartName="/xl/drawings/drawing33.xml" ContentType="application/vnd.openxmlformats-officedocument.drawing+xml"/>
  <Override PartName="/xl/charts/chart35.xml" ContentType="application/vnd.openxmlformats-officedocument.drawingml.chart+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drawings/drawing36.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drawings/drawing40.xml" ContentType="application/vnd.openxmlformats-officedocument.drawing+xml"/>
  <Override PartName="/xl/charts/chart42.xml" ContentType="application/vnd.openxmlformats-officedocument.drawingml.chart+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drawings/drawing44.xml" ContentType="application/vnd.openxmlformats-officedocument.drawing+xml"/>
  <Override PartName="/xl/charts/chart46.xml" ContentType="application/vnd.openxmlformats-officedocument.drawingml.chart+xml"/>
  <Override PartName="/xl/drawings/drawing45.xml" ContentType="application/vnd.openxmlformats-officedocument.drawing+xml"/>
  <Override PartName="/xl/charts/chart47.xml" ContentType="application/vnd.openxmlformats-officedocument.drawingml.chart+xml"/>
  <Override PartName="/xl/drawings/drawing46.xml" ContentType="application/vnd.openxmlformats-officedocument.drawing+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defaultThemeVersion="124226"/>
  <mc:AlternateContent xmlns:mc="http://schemas.openxmlformats.org/markup-compatibility/2006">
    <mc:Choice Requires="x15">
      <x15ac:absPath xmlns:x15ac="http://schemas.microsoft.com/office/spreadsheetml/2010/11/ac" url="C:\Users\jebe\Desktop\"/>
    </mc:Choice>
  </mc:AlternateContent>
  <workbookProtection workbookAlgorithmName="SHA-512" workbookHashValue="LRj94UwFrmuR6hKKVHezaqSml71vgpLDvfwE8ECCcwFcsjJSboCo1EwW3p+2z5ypNYd/HS/3adkBSJscrRWkmg==" workbookSaltValue="U/Ah2qH7X9YsXRjtXGujhQ==" workbookSpinCount="100000" lockStructure="1"/>
  <bookViews>
    <workbookView xWindow="7485" yWindow="90" windowWidth="11505" windowHeight="9330" tabRatio="949" firstSheet="1" activeTab="1"/>
  </bookViews>
  <sheets>
    <sheet name="Översättning" sheetId="131" state="hidden" r:id="rId1"/>
    <sheet name="Innehåll" sheetId="121" r:id="rId2"/>
    <sheet name="Info" sheetId="8" r:id="rId3"/>
    <sheet name="1.1" sheetId="7" r:id="rId4"/>
    <sheet name="1.2" sheetId="9" r:id="rId5"/>
    <sheet name="1.3" sheetId="109" r:id="rId6"/>
    <sheet name="2.1" sheetId="97" r:id="rId7"/>
    <sheet name="2.2" sheetId="101" r:id="rId8"/>
    <sheet name="3.1" sheetId="13" r:id="rId9"/>
    <sheet name="3.2" sheetId="98" r:id="rId10"/>
    <sheet name="3.3" sheetId="12" r:id="rId11"/>
    <sheet name="3.4" sheetId="111" r:id="rId12"/>
    <sheet name="3.5" sheetId="112" r:id="rId13"/>
    <sheet name="3.6" sheetId="61" r:id="rId14"/>
    <sheet name="4.1" sheetId="14" r:id="rId15"/>
    <sheet name="4.2" sheetId="15" r:id="rId16"/>
    <sheet name="4.3" sheetId="82" r:id="rId17"/>
    <sheet name="4.4" sheetId="104" r:id="rId18"/>
    <sheet name="4.5" sheetId="105" r:id="rId19"/>
    <sheet name="4.6" sheetId="17" r:id="rId20"/>
    <sheet name="4.7" sheetId="38" r:id="rId21"/>
    <sheet name="5.1" sheetId="19" r:id="rId22"/>
    <sheet name="5.2" sheetId="107" r:id="rId23"/>
    <sheet name="5.3" sheetId="99" r:id="rId24"/>
    <sheet name="5.4" sheetId="96" r:id="rId25"/>
    <sheet name="5.5" sheetId="39" r:id="rId26"/>
    <sheet name="6.1" sheetId="21" r:id="rId27"/>
    <sheet name="6.2" sheetId="22" r:id="rId28"/>
    <sheet name="6.3" sheetId="23" r:id="rId29"/>
    <sheet name="6.4" sheetId="120" r:id="rId30"/>
    <sheet name="6.5" sheetId="48" r:id="rId31"/>
    <sheet name="6.6" sheetId="25" r:id="rId32"/>
    <sheet name="6.7" sheetId="83" r:id="rId33"/>
    <sheet name="6.8" sheetId="68" r:id="rId34"/>
    <sheet name="6.9" sheetId="108" r:id="rId35"/>
    <sheet name="6.10" sheetId="126" r:id="rId36"/>
    <sheet name="6.11" sheetId="128" r:id="rId37"/>
    <sheet name="6.12" sheetId="129" r:id="rId38"/>
    <sheet name="6.13" sheetId="127" r:id="rId39"/>
    <sheet name="6.14" sheetId="130" r:id="rId40"/>
    <sheet name="7.1" sheetId="26" r:id="rId41"/>
    <sheet name="7.2" sheetId="27" r:id="rId42"/>
    <sheet name="7.3" sheetId="28" r:id="rId43"/>
    <sheet name="8.1" sheetId="70" r:id="rId44"/>
    <sheet name="8.2" sheetId="114" r:id="rId45"/>
    <sheet name="8.3" sheetId="84" r:id="rId46"/>
    <sheet name="8.4" sheetId="88" r:id="rId47"/>
    <sheet name="8.5" sheetId="75" r:id="rId48"/>
    <sheet name="8.6" sheetId="87"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definedNames>
    <definedName name="_56.9">Översättning!$O$143</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Innehåll!$F$1:$F$2</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Innehåll!$G$1</definedName>
    <definedName name="test">Innehåll!#REF!</definedName>
    <definedName name="_xlnm.Print_Area" localSheetId="3">'1.1'!$B$1:$G$48</definedName>
    <definedName name="_xlnm.Print_Area" localSheetId="4">'1.2'!$A$1:$L$59</definedName>
    <definedName name="_xlnm.Print_Area" localSheetId="5">'1.3'!$A$1:$G$58</definedName>
    <definedName name="_xlnm.Print_Area" localSheetId="60">'10.1'!$A$1:$G$42</definedName>
    <definedName name="_xlnm.Print_Area" localSheetId="61">'10.2'!$A$1:$E$43</definedName>
    <definedName name="_xlnm.Print_Area" localSheetId="62">'11.1'!$A$1:$F$42</definedName>
    <definedName name="_xlnm.Print_Area" localSheetId="63">'11.2'!$A$1:$D$36</definedName>
    <definedName name="_xlnm.Print_Area" localSheetId="64">'12.1'!$A$1:$J$34</definedName>
    <definedName name="_xlnm.Print_Area" localSheetId="65">'12.2'!$A$1:$E$34</definedName>
    <definedName name="_xlnm.Print_Area" localSheetId="66">'12.3'!$A$1:$K$34</definedName>
    <definedName name="_xlnm.Print_Area" localSheetId="68">'12.5'!$A$1:$G$20</definedName>
    <definedName name="_xlnm.Print_Area" localSheetId="70">'12.7'!$B$1:$J$27</definedName>
    <definedName name="_xlnm.Print_Area" localSheetId="71">'13.1'!$A$1:$E$35</definedName>
    <definedName name="_xlnm.Print_Area" localSheetId="72">'13.2'!$B$1:$H$49</definedName>
    <definedName name="_xlnm.Print_Area" localSheetId="6">'2.1'!$A$1:$I$56</definedName>
    <definedName name="_xlnm.Print_Area" localSheetId="8">'3.1'!$A$1:$I$55</definedName>
    <definedName name="_xlnm.Print_Area" localSheetId="9">'3.2'!$A$1:$I$43</definedName>
    <definedName name="_xlnm.Print_Area" localSheetId="10">'3.3'!$A$1:$E$57</definedName>
    <definedName name="_xlnm.Print_Area" localSheetId="11">'3.4'!$A$1:$S$44</definedName>
    <definedName name="_xlnm.Print_Area" localSheetId="12">'3.5'!$A$1:$E$43</definedName>
    <definedName name="_xlnm.Print_Area" localSheetId="13">'3.6'!$A$1:$F$58</definedName>
    <definedName name="_xlnm.Print_Area" localSheetId="14">'4.1'!$A$1:$I$57</definedName>
    <definedName name="_xlnm.Print_Area" localSheetId="15">'4.2'!$A$1:$K$36</definedName>
    <definedName name="_xlnm.Print_Area" localSheetId="16">'4.3'!$A$1:$K$36</definedName>
    <definedName name="_xlnm.Print_Area" localSheetId="17">'4.4'!$A$1:$K$36</definedName>
    <definedName name="_xlnm.Print_Area" localSheetId="18">'4.5'!$A$1:$K$36</definedName>
    <definedName name="_xlnm.Print_Area" localSheetId="19">'4.6'!$A$1:$E$44</definedName>
    <definedName name="_xlnm.Print_Area" localSheetId="20">'4.7'!$A$1:$G$40</definedName>
    <definedName name="_xlnm.Print_Area" localSheetId="21">'5.1'!$A$1:$J$57</definedName>
    <definedName name="_xlnm.Print_Area" localSheetId="22">'5.2'!$A$1:$F$30</definedName>
    <definedName name="_xlnm.Print_Area" localSheetId="23">'5.3'!$A$1:$F$57</definedName>
    <definedName name="_xlnm.Print_Area" localSheetId="24">'5.4'!$A$1:$D$58</definedName>
    <definedName name="_xlnm.Print_Area" localSheetId="25">'5.5'!$A$1:$D$45</definedName>
    <definedName name="_xlnm.Print_Area" localSheetId="26">'6.1'!$A$1:$G$56</definedName>
    <definedName name="_xlnm.Print_Area" localSheetId="35">'6.10'!$A$1:$G$31</definedName>
    <definedName name="_xlnm.Print_Area" localSheetId="36">'6.11'!$A$1:$R$152</definedName>
    <definedName name="_xlnm.Print_Area" localSheetId="37">'6.12'!$A$1:$R$153</definedName>
    <definedName name="_xlnm.Print_Area" localSheetId="38">'6.13'!$A$1:$E$151</definedName>
    <definedName name="_xlnm.Print_Area" localSheetId="39">'6.14'!$A$1:$D$38</definedName>
    <definedName name="_xlnm.Print_Area" localSheetId="27">'6.2'!$A$1:$I$56</definedName>
    <definedName name="_xlnm.Print_Area" localSheetId="28">'6.3'!$A$1:$G$42</definedName>
    <definedName name="_xlnm.Print_Area" localSheetId="29">'6.4'!$A$1:$D$43</definedName>
    <definedName name="_xlnm.Print_Area" localSheetId="30">'6.5'!$A$1:$G$23</definedName>
    <definedName name="_xlnm.Print_Area" localSheetId="31">'6.6'!$A$1:$J$29</definedName>
    <definedName name="_xlnm.Print_Area" localSheetId="32">'6.7'!$A$1:$Q$375</definedName>
    <definedName name="_xlnm.Print_Area" localSheetId="33">'6.8'!$A$1:$E$260</definedName>
    <definedName name="_xlnm.Print_Area" localSheetId="34">'6.9'!$A$1:$E$71</definedName>
    <definedName name="_xlnm.Print_Area" localSheetId="40">'7.1'!$A$1:$E$55</definedName>
    <definedName name="_xlnm.Print_Area" localSheetId="41">'7.2'!$A$1:$J$55</definedName>
    <definedName name="_xlnm.Print_Area" localSheetId="42">'7.3'!$A$1:$N$33</definedName>
    <definedName name="_xlnm.Print_Area" localSheetId="43">'8.1'!$A$1:$G$42</definedName>
    <definedName name="_xlnm.Print_Area" localSheetId="52">'8.10'!$A$1:$D$28</definedName>
    <definedName name="_xlnm.Print_Area" localSheetId="53">'8.11'!$A$1:$F$34</definedName>
    <definedName name="_xlnm.Print_Area" localSheetId="44">'8.2'!$A$1:$M$20</definedName>
    <definedName name="_xlnm.Print_Area" localSheetId="45">'8.3'!$A$1:$D$28</definedName>
    <definedName name="_xlnm.Print_Area" localSheetId="46">'8.4'!$A$1:$J$15</definedName>
    <definedName name="_xlnm.Print_Area" localSheetId="47">'8.5'!$A$1:$G$14</definedName>
    <definedName name="_xlnm.Print_Area" localSheetId="48">'8.6'!$A$1:$J$14</definedName>
    <definedName name="_xlnm.Print_Area" localSheetId="49">'8.7'!$A$1:$I$14</definedName>
    <definedName name="_xlnm.Print_Area" localSheetId="50">'8.8'!$A$1:$M$14</definedName>
    <definedName name="_xlnm.Print_Area" localSheetId="51">'8.9'!$A$1:$H$21</definedName>
    <definedName name="_xlnm.Print_Area" localSheetId="54">'9.1'!$A$1:$I$42</definedName>
    <definedName name="_xlnm.Print_Area" localSheetId="55">'9.2'!$A$1:$I$42</definedName>
    <definedName name="_xlnm.Print_Area" localSheetId="56">'9.3'!$A$1:$F$54</definedName>
    <definedName name="_xlnm.Print_Area" localSheetId="57">'9.4'!$A$1:$H$42</definedName>
    <definedName name="_xlnm.Print_Area" localSheetId="58">'9.5'!$A$1:$H$42</definedName>
    <definedName name="_xlnm.Print_Area" localSheetId="59">'9.6'!$A$1:$D$50</definedName>
    <definedName name="_xlnm.Print_Area" localSheetId="2">Info!$B$1:$D$54</definedName>
    <definedName name="_xlnm.Print_Area" localSheetId="1">Innehåll!$B$1:$C$103</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71027" concurrentCalc="0"/>
</workbook>
</file>

<file path=xl/calcChain.xml><?xml version="1.0" encoding="utf-8"?>
<calcChain xmlns="http://schemas.openxmlformats.org/spreadsheetml/2006/main">
  <c r="C6" i="84" l="1"/>
  <c r="H6" i="75"/>
  <c r="B6" i="75"/>
  <c r="J6" i="75"/>
  <c r="G6" i="75"/>
  <c r="M6" i="87"/>
  <c r="L6" i="87"/>
  <c r="K6" i="87"/>
  <c r="J6" i="87"/>
  <c r="I6" i="87"/>
  <c r="H6" i="87"/>
  <c r="G6" i="87"/>
  <c r="F6" i="87"/>
  <c r="E6" i="87"/>
  <c r="D6" i="87"/>
  <c r="C6" i="87"/>
  <c r="B6" i="87"/>
  <c r="A6" i="87"/>
  <c r="B6" i="28"/>
  <c r="C6" i="28"/>
  <c r="D6" i="28"/>
  <c r="E6" i="28"/>
  <c r="F6" i="28"/>
  <c r="G6" i="28"/>
  <c r="H6" i="28"/>
  <c r="I6" i="28"/>
  <c r="J6" i="28"/>
  <c r="K6" i="28"/>
  <c r="L6" i="28"/>
  <c r="M6" i="28"/>
  <c r="N6" i="28"/>
  <c r="O6" i="28"/>
  <c r="A6" i="28"/>
  <c r="B1" i="7"/>
  <c r="E6" i="26"/>
  <c r="J6" i="27"/>
  <c r="G6" i="70"/>
  <c r="M6" i="114"/>
  <c r="D6" i="84"/>
  <c r="L6" i="88"/>
  <c r="K6" i="75"/>
  <c r="N6" i="87"/>
  <c r="I6" i="86"/>
  <c r="M6" i="85"/>
  <c r="L6" i="94"/>
  <c r="K6" i="90"/>
  <c r="E6" i="93"/>
  <c r="J6" i="91"/>
  <c r="F6" i="31"/>
  <c r="G6" i="29"/>
  <c r="H6" i="125"/>
  <c r="H6" i="124"/>
  <c r="F6" i="123"/>
  <c r="I6" i="117"/>
  <c r="I6" i="106"/>
  <c r="H6" i="76"/>
  <c r="D4" i="8"/>
  <c r="B48" i="118"/>
  <c r="B47" i="118"/>
  <c r="B46" i="118"/>
  <c r="B45" i="118"/>
  <c r="B37" i="118"/>
  <c r="B38" i="118"/>
  <c r="B39" i="118"/>
  <c r="B40" i="118"/>
  <c r="B41" i="118"/>
  <c r="B42" i="118"/>
  <c r="B43" i="118"/>
  <c r="B36" i="118"/>
  <c r="B33" i="118"/>
  <c r="B30" i="118"/>
  <c r="B31" i="118"/>
  <c r="B29" i="118"/>
  <c r="B9" i="118"/>
  <c r="B10" i="118"/>
  <c r="B11" i="118"/>
  <c r="B12" i="118"/>
  <c r="B13" i="118"/>
  <c r="B14" i="118"/>
  <c r="B15" i="118"/>
  <c r="B16" i="118"/>
  <c r="B17" i="118"/>
  <c r="B18" i="118"/>
  <c r="B19" i="118"/>
  <c r="B20" i="118"/>
  <c r="B21" i="118"/>
  <c r="B22" i="118"/>
  <c r="B23" i="118"/>
  <c r="B24" i="118"/>
  <c r="B25" i="118"/>
  <c r="B26" i="118"/>
  <c r="B27" i="118"/>
  <c r="B8" i="118"/>
  <c r="B7" i="118"/>
  <c r="B26" i="89"/>
  <c r="B23" i="89"/>
  <c r="B21" i="89"/>
  <c r="B19" i="89"/>
  <c r="B17" i="89"/>
  <c r="B15" i="89"/>
  <c r="B13" i="89"/>
  <c r="B11" i="89"/>
  <c r="B9" i="89"/>
  <c r="B7" i="89"/>
  <c r="J6" i="25"/>
  <c r="G6" i="48"/>
  <c r="G6" i="23"/>
  <c r="G6" i="21"/>
  <c r="D6" i="96"/>
  <c r="F6" i="99"/>
  <c r="F6" i="107"/>
  <c r="J6" i="19"/>
  <c r="K6" i="105"/>
  <c r="K6" i="104"/>
  <c r="K6" i="82"/>
  <c r="K6" i="15"/>
  <c r="I6" i="14"/>
  <c r="E6" i="112"/>
  <c r="B1" i="118"/>
  <c r="A1" i="78"/>
  <c r="B1" i="89"/>
  <c r="A1" i="95"/>
  <c r="A1" i="92"/>
  <c r="A1" i="94"/>
  <c r="A1" i="90"/>
  <c r="A1" i="93"/>
  <c r="A1" i="91"/>
  <c r="A1" i="56"/>
  <c r="A1" i="31"/>
  <c r="A1" i="30"/>
  <c r="A1" i="29"/>
  <c r="A1" i="52"/>
  <c r="A1" i="125"/>
  <c r="A1" i="124"/>
  <c r="A1" i="123"/>
  <c r="A1" i="117"/>
  <c r="A1" i="106"/>
  <c r="A1" i="58"/>
  <c r="A1" i="34"/>
  <c r="A1" i="76"/>
  <c r="A1" i="85"/>
  <c r="A1" i="86"/>
  <c r="A1" i="87"/>
  <c r="A1" i="75"/>
  <c r="A1" i="88"/>
  <c r="A1" i="84"/>
  <c r="A1" i="114"/>
  <c r="A1" i="70"/>
  <c r="A1" i="28"/>
  <c r="A1" i="27"/>
  <c r="A1" i="26"/>
  <c r="A1" i="130"/>
  <c r="A1" i="127"/>
  <c r="A1" i="129"/>
  <c r="A1" i="128"/>
  <c r="A1" i="126"/>
  <c r="A1" i="108"/>
  <c r="A1" i="68"/>
  <c r="A1" i="83"/>
  <c r="A1" i="25"/>
  <c r="A1" i="48"/>
  <c r="A1" i="120"/>
  <c r="A1" i="23"/>
  <c r="A1" i="22"/>
  <c r="A1" i="21"/>
  <c r="A1" i="39"/>
  <c r="A1" i="96"/>
  <c r="A1" i="99"/>
  <c r="A1" i="107"/>
  <c r="A1" i="19"/>
  <c r="A1" i="38"/>
  <c r="A1" i="17"/>
  <c r="A1" i="105"/>
  <c r="A1" i="104"/>
  <c r="A1" i="82"/>
  <c r="A1" i="15"/>
  <c r="A1" i="14"/>
  <c r="A1" i="61"/>
  <c r="A1" i="112"/>
  <c r="A1" i="111"/>
  <c r="A1" i="12"/>
  <c r="A1" i="98"/>
  <c r="A1" i="13"/>
  <c r="A1" i="101"/>
  <c r="A1" i="97"/>
  <c r="A1" i="109"/>
  <c r="A1" i="9"/>
  <c r="L6" i="9"/>
  <c r="B1" i="8"/>
  <c r="D7" i="8"/>
  <c r="D8" i="8"/>
  <c r="D10" i="8"/>
  <c r="D11" i="8"/>
  <c r="D12" i="8"/>
  <c r="D14" i="8"/>
  <c r="D16" i="8"/>
  <c r="D17" i="8"/>
  <c r="D18" i="8"/>
  <c r="D20" i="8"/>
  <c r="D21" i="8"/>
  <c r="D23" i="8"/>
  <c r="D24" i="8"/>
  <c r="D25" i="8"/>
  <c r="D27" i="8"/>
  <c r="D29" i="8"/>
  <c r="D30" i="8"/>
  <c r="D31" i="8"/>
  <c r="D32" i="8"/>
  <c r="D33" i="8"/>
  <c r="D34" i="8"/>
  <c r="D35" i="8"/>
  <c r="D36" i="8"/>
  <c r="D37" i="8"/>
  <c r="D38" i="8"/>
  <c r="D39" i="8"/>
  <c r="D41" i="8"/>
  <c r="D42" i="8"/>
  <c r="D43" i="8"/>
  <c r="D44" i="8"/>
  <c r="D45" i="8"/>
  <c r="D47" i="8"/>
  <c r="D48" i="8"/>
  <c r="D49" i="8"/>
  <c r="D51" i="8"/>
  <c r="D52" i="8"/>
  <c r="D53" i="8"/>
  <c r="D2" i="8"/>
  <c r="B44" i="7"/>
  <c r="B45" i="7"/>
  <c r="B46" i="7"/>
  <c r="B47" i="7"/>
  <c r="B43" i="7"/>
  <c r="B41" i="7"/>
  <c r="B38" i="7"/>
  <c r="B28" i="7"/>
  <c r="B29" i="7"/>
  <c r="B30" i="7"/>
  <c r="B31" i="7"/>
  <c r="B32" i="7"/>
  <c r="B33" i="7"/>
  <c r="B34" i="7"/>
  <c r="B35" i="7"/>
  <c r="B27" i="7"/>
  <c r="B21" i="7"/>
  <c r="B22" i="7"/>
  <c r="B23" i="7"/>
  <c r="B24" i="7"/>
  <c r="B25" i="7"/>
  <c r="B20" i="7"/>
  <c r="F41" i="7"/>
  <c r="F30" i="7"/>
  <c r="F31" i="7"/>
  <c r="F32" i="7"/>
  <c r="F33" i="7"/>
  <c r="F34" i="7"/>
  <c r="F35" i="7"/>
  <c r="F36" i="7"/>
  <c r="F37" i="7"/>
  <c r="F29" i="7"/>
  <c r="F22" i="7"/>
  <c r="F23" i="7"/>
  <c r="F24" i="7"/>
  <c r="F25" i="7"/>
  <c r="F26" i="7"/>
  <c r="F21" i="7"/>
  <c r="F10" i="7"/>
  <c r="F11" i="7"/>
  <c r="F12" i="7"/>
  <c r="F13" i="7"/>
  <c r="F14" i="7"/>
  <c r="F15" i="7"/>
  <c r="F16" i="7"/>
  <c r="F17" i="7"/>
  <c r="F18" i="7"/>
  <c r="F9" i="7"/>
  <c r="B8" i="7"/>
  <c r="B9" i="7"/>
  <c r="B10" i="7"/>
  <c r="B11" i="7"/>
  <c r="B12" i="7"/>
  <c r="B13" i="7"/>
  <c r="B14" i="7"/>
  <c r="B15" i="7"/>
  <c r="B16" i="7"/>
  <c r="B17" i="7"/>
  <c r="B18" i="7"/>
  <c r="B7" i="7"/>
  <c r="B6" i="7"/>
  <c r="B3" i="7"/>
  <c r="B3" i="118"/>
  <c r="A3" i="9"/>
  <c r="A3" i="128"/>
  <c r="A3" i="78"/>
  <c r="B3" i="89"/>
  <c r="A3" i="95"/>
  <c r="A3" i="92"/>
  <c r="A3" i="94"/>
  <c r="A3" i="90"/>
  <c r="A3" i="93"/>
  <c r="A3" i="91"/>
  <c r="A3" i="56"/>
  <c r="A3" i="31"/>
  <c r="A3" i="30"/>
  <c r="A3" i="29"/>
  <c r="A3" i="52"/>
  <c r="A3" i="125"/>
  <c r="A3" i="124"/>
  <c r="A3" i="123"/>
  <c r="A3" i="117"/>
  <c r="A3" i="106"/>
  <c r="A3" i="58"/>
  <c r="A3" i="34"/>
  <c r="A3" i="76"/>
  <c r="A3" i="85"/>
  <c r="A3" i="86"/>
  <c r="A3" i="87"/>
  <c r="A3" i="75"/>
  <c r="A3" i="88"/>
  <c r="A3" i="84"/>
  <c r="A3" i="114"/>
  <c r="A3" i="70"/>
  <c r="A3" i="28"/>
  <c r="A3" i="27"/>
  <c r="A3" i="26"/>
  <c r="A3" i="130"/>
  <c r="A3" i="127"/>
  <c r="A3" i="129"/>
  <c r="A3" i="126"/>
  <c r="A3" i="108"/>
  <c r="A3" i="68"/>
  <c r="A3" i="83"/>
  <c r="A3" i="25"/>
  <c r="A3" i="48"/>
  <c r="A3" i="120"/>
  <c r="A3" i="23"/>
  <c r="A3" i="22"/>
  <c r="A3" i="21"/>
  <c r="A3" i="39"/>
  <c r="A3" i="96"/>
  <c r="A3" i="99"/>
  <c r="A3" i="107"/>
  <c r="A3" i="19"/>
  <c r="A3" i="38"/>
  <c r="A3" i="17"/>
  <c r="A3" i="105"/>
  <c r="A3" i="104"/>
  <c r="A3" i="82"/>
  <c r="A3" i="15"/>
  <c r="A3" i="14"/>
  <c r="A3" i="61"/>
  <c r="A3" i="112"/>
  <c r="A3" i="111"/>
  <c r="A3" i="12"/>
  <c r="A3" i="98"/>
  <c r="A3" i="13"/>
  <c r="A3" i="101"/>
  <c r="A3" i="97"/>
  <c r="A3" i="109"/>
  <c r="E6" i="12"/>
  <c r="I6" i="98"/>
  <c r="I6" i="13"/>
  <c r="E6" i="101"/>
  <c r="I6" i="97"/>
  <c r="G6" i="109"/>
  <c r="F349" i="131"/>
  <c r="F348" i="131"/>
  <c r="F344" i="131"/>
  <c r="F343" i="131"/>
  <c r="F339" i="131"/>
  <c r="F338" i="131"/>
  <c r="F334" i="131"/>
  <c r="F333" i="131"/>
  <c r="F329" i="131"/>
  <c r="F328" i="131"/>
  <c r="F324" i="131"/>
  <c r="F323" i="131"/>
  <c r="F319" i="131"/>
  <c r="F318" i="131"/>
  <c r="F314" i="131"/>
  <c r="F313" i="131"/>
  <c r="F309" i="131"/>
  <c r="F308" i="131"/>
  <c r="F304" i="131"/>
  <c r="F303" i="131"/>
  <c r="F299" i="131"/>
  <c r="F298" i="131"/>
  <c r="F294" i="131"/>
  <c r="F293" i="131"/>
  <c r="F289" i="131"/>
  <c r="F288" i="131"/>
  <c r="F284" i="131"/>
  <c r="F283" i="131"/>
  <c r="F279" i="131"/>
  <c r="F278" i="131"/>
  <c r="F274" i="131"/>
  <c r="F273" i="131"/>
  <c r="F269" i="131"/>
  <c r="F268" i="131"/>
  <c r="C6" i="124"/>
  <c r="F264" i="131"/>
  <c r="F263" i="131"/>
  <c r="E6" i="123"/>
  <c r="F259" i="131"/>
  <c r="F258" i="131"/>
  <c r="E6" i="117"/>
  <c r="F254" i="131"/>
  <c r="F253" i="131"/>
  <c r="F6" i="106"/>
  <c r="F249" i="131"/>
  <c r="F248" i="131"/>
  <c r="C6" i="58"/>
  <c r="F244" i="131"/>
  <c r="F243" i="131"/>
  <c r="B6" i="34"/>
  <c r="F239" i="131"/>
  <c r="F238" i="131"/>
  <c r="F234" i="131"/>
  <c r="F233" i="131"/>
  <c r="C6" i="85"/>
  <c r="F229" i="131"/>
  <c r="F228" i="131"/>
  <c r="D6" i="86"/>
  <c r="F224" i="131"/>
  <c r="F223" i="131"/>
  <c r="F219" i="131"/>
  <c r="F218" i="131"/>
  <c r="F214" i="131"/>
  <c r="F213" i="131"/>
  <c r="B6" i="88"/>
  <c r="F209" i="131"/>
  <c r="F208" i="131"/>
  <c r="F204" i="131"/>
  <c r="F203" i="131"/>
  <c r="F199" i="131"/>
  <c r="F198" i="131"/>
  <c r="F194" i="131"/>
  <c r="F193" i="131"/>
  <c r="F189" i="131"/>
  <c r="F188" i="131"/>
  <c r="F184" i="131"/>
  <c r="F183" i="131"/>
  <c r="F179" i="131"/>
  <c r="F178" i="131"/>
  <c r="F174" i="131"/>
  <c r="F173" i="131"/>
  <c r="F169" i="131"/>
  <c r="F168" i="131"/>
  <c r="B5" i="129"/>
  <c r="F164" i="131"/>
  <c r="F163" i="131"/>
  <c r="F159" i="131"/>
  <c r="F158" i="131"/>
  <c r="F154" i="131"/>
  <c r="F153" i="131"/>
  <c r="F149" i="131"/>
  <c r="F148" i="131"/>
  <c r="F144" i="131"/>
  <c r="F143" i="131"/>
  <c r="F139" i="131"/>
  <c r="F138" i="131"/>
  <c r="F134" i="131"/>
  <c r="F133" i="131"/>
  <c r="F129" i="131"/>
  <c r="F128" i="131"/>
  <c r="F124" i="131"/>
  <c r="F123" i="131"/>
  <c r="F119" i="131"/>
  <c r="F118" i="131"/>
  <c r="F114" i="131"/>
  <c r="F113" i="131"/>
  <c r="F109" i="131"/>
  <c r="F108" i="131"/>
  <c r="F104" i="131"/>
  <c r="F103" i="131"/>
  <c r="F99" i="131"/>
  <c r="F98" i="131"/>
  <c r="F94" i="131"/>
  <c r="F93" i="131"/>
  <c r="F89" i="131"/>
  <c r="F88" i="131"/>
  <c r="F84" i="131"/>
  <c r="F83" i="131"/>
  <c r="F79" i="131"/>
  <c r="F78" i="131"/>
  <c r="F74" i="131"/>
  <c r="F73" i="131"/>
  <c r="F69" i="131"/>
  <c r="F68" i="131"/>
  <c r="F64" i="131"/>
  <c r="F63" i="131"/>
  <c r="F59" i="131"/>
  <c r="F58" i="131"/>
  <c r="F54" i="131"/>
  <c r="F53" i="131"/>
  <c r="F49" i="131"/>
  <c r="F48" i="131"/>
  <c r="F44" i="131"/>
  <c r="F43" i="131"/>
  <c r="F39" i="131"/>
  <c r="F38" i="131"/>
  <c r="F34" i="131"/>
  <c r="F33" i="131"/>
  <c r="F29" i="131"/>
  <c r="F28" i="131"/>
  <c r="F24" i="131"/>
  <c r="F23" i="131"/>
  <c r="F19" i="131"/>
  <c r="F18" i="131"/>
  <c r="F14" i="131"/>
  <c r="F13" i="131"/>
  <c r="F9" i="131"/>
  <c r="F8" i="131"/>
  <c r="F3" i="131"/>
  <c r="F4" i="131"/>
  <c r="N5" i="129"/>
  <c r="H5" i="129"/>
  <c r="N6" i="129"/>
  <c r="I6" i="129"/>
  <c r="L6" i="129"/>
  <c r="H6" i="129"/>
  <c r="O6" i="129"/>
  <c r="N5" i="128"/>
  <c r="H5" i="128"/>
  <c r="B5" i="128"/>
  <c r="C6" i="125"/>
  <c r="C6" i="52"/>
  <c r="C6" i="30"/>
  <c r="R6" i="128"/>
  <c r="N6" i="128"/>
  <c r="I6" i="128"/>
  <c r="Q6" i="128"/>
  <c r="L6" i="128"/>
  <c r="H6" i="128"/>
  <c r="P6" i="128"/>
  <c r="K6" i="128"/>
  <c r="O6" i="128"/>
  <c r="J6" i="128"/>
  <c r="K7" i="83"/>
  <c r="O7" i="83"/>
  <c r="B7" i="83"/>
  <c r="F7" i="83"/>
  <c r="L7" i="83"/>
  <c r="P7" i="83"/>
  <c r="C7" i="83"/>
  <c r="G7" i="83"/>
  <c r="A6" i="83"/>
  <c r="M7" i="83"/>
  <c r="Q7" i="83"/>
  <c r="D7" i="83"/>
  <c r="H7" i="83"/>
  <c r="J6" i="83"/>
  <c r="N7" i="83"/>
  <c r="J7" i="83"/>
  <c r="E7" i="83"/>
  <c r="A7" i="83"/>
  <c r="D6" i="92"/>
  <c r="F6" i="92"/>
  <c r="I6" i="94"/>
  <c r="E6" i="94"/>
  <c r="H6" i="94"/>
  <c r="D6" i="94"/>
  <c r="J6" i="94"/>
  <c r="B6" i="94"/>
  <c r="K6" i="94"/>
  <c r="G6" i="94"/>
  <c r="C6" i="94"/>
  <c r="F6" i="94"/>
  <c r="D6" i="9"/>
  <c r="H6" i="9"/>
  <c r="B6" i="9"/>
  <c r="E6" i="9"/>
  <c r="I6" i="9"/>
  <c r="F6" i="9"/>
  <c r="J6" i="9"/>
  <c r="C6" i="9"/>
  <c r="G6" i="9"/>
  <c r="K6" i="9"/>
  <c r="E6" i="107"/>
  <c r="D6" i="107"/>
  <c r="C6" i="107"/>
  <c r="B5" i="111"/>
  <c r="N5" i="111"/>
  <c r="H5" i="111"/>
  <c r="B7" i="111"/>
  <c r="G7" i="111"/>
  <c r="C6" i="90"/>
  <c r="G6" i="90"/>
  <c r="B6" i="90"/>
  <c r="J6" i="90"/>
  <c r="D6" i="90"/>
  <c r="H6" i="90"/>
  <c r="F6" i="90"/>
  <c r="E6" i="90"/>
  <c r="I6" i="90"/>
  <c r="F7" i="92"/>
  <c r="B7" i="92"/>
  <c r="C7" i="92"/>
  <c r="E7" i="92"/>
  <c r="D7" i="92"/>
  <c r="G7" i="92"/>
  <c r="B6" i="92"/>
  <c r="I6" i="89"/>
  <c r="H6" i="89"/>
  <c r="J6" i="89"/>
  <c r="E6" i="89"/>
  <c r="F6" i="89"/>
  <c r="G6" i="89"/>
  <c r="D35" i="118"/>
  <c r="H35" i="118"/>
  <c r="F6" i="118"/>
  <c r="C6" i="118"/>
  <c r="E35" i="118"/>
  <c r="C35" i="118"/>
  <c r="G6" i="118"/>
  <c r="G35" i="118"/>
  <c r="F35" i="118"/>
  <c r="D6" i="118"/>
  <c r="H6" i="118"/>
  <c r="E6" i="118"/>
  <c r="C6" i="93"/>
  <c r="D6" i="93"/>
  <c r="B6" i="93"/>
  <c r="B6" i="95"/>
  <c r="F7" i="95"/>
  <c r="D6" i="95"/>
  <c r="G7" i="95"/>
  <c r="D7" i="95"/>
  <c r="C7" i="95"/>
  <c r="F6" i="95"/>
  <c r="E7" i="95"/>
  <c r="B7" i="95"/>
  <c r="C6" i="78"/>
  <c r="B6" i="78"/>
  <c r="E6" i="78"/>
  <c r="D6" i="78"/>
  <c r="E6" i="97"/>
  <c r="H6" i="97"/>
  <c r="F6" i="97"/>
  <c r="D6" i="97"/>
  <c r="C6" i="97"/>
  <c r="G6" i="97"/>
  <c r="F6" i="75"/>
  <c r="C6" i="75"/>
  <c r="E6" i="75"/>
  <c r="D6" i="31"/>
  <c r="E6" i="31"/>
  <c r="C6" i="31"/>
  <c r="B6" i="31"/>
  <c r="C6" i="91"/>
  <c r="G6" i="91"/>
  <c r="B6" i="91"/>
  <c r="D6" i="91"/>
  <c r="H6" i="91"/>
  <c r="E6" i="91"/>
  <c r="I6" i="91"/>
  <c r="F6" i="91"/>
  <c r="J6" i="85"/>
  <c r="E6" i="106"/>
  <c r="F6" i="125"/>
  <c r="B6" i="52"/>
  <c r="B6" i="30"/>
  <c r="F6" i="85"/>
  <c r="D6" i="123"/>
  <c r="E6" i="125"/>
  <c r="D6" i="52"/>
  <c r="E6" i="30"/>
  <c r="C6" i="56"/>
  <c r="D6" i="56"/>
  <c r="B6" i="56"/>
  <c r="B6" i="125"/>
  <c r="D6" i="125"/>
  <c r="B6" i="29"/>
  <c r="D6" i="30"/>
  <c r="B6" i="106"/>
  <c r="G6" i="125"/>
  <c r="C6" i="86"/>
  <c r="D6" i="117"/>
  <c r="F6" i="124"/>
  <c r="F6" i="86"/>
  <c r="B6" i="85"/>
  <c r="I6" i="85"/>
  <c r="E6" i="85"/>
  <c r="E6" i="58"/>
  <c r="H6" i="106"/>
  <c r="D6" i="106"/>
  <c r="G6" i="117"/>
  <c r="C6" i="117"/>
  <c r="C6" i="123"/>
  <c r="E6" i="124"/>
  <c r="F6" i="58"/>
  <c r="B6" i="86"/>
  <c r="E6" i="86"/>
  <c r="L6" i="85"/>
  <c r="H6" i="85"/>
  <c r="D6" i="85"/>
  <c r="D6" i="58"/>
  <c r="G6" i="106"/>
  <c r="C6" i="106"/>
  <c r="F6" i="117"/>
  <c r="B6" i="123"/>
  <c r="B6" i="124"/>
  <c r="D6" i="124"/>
  <c r="G6" i="86"/>
  <c r="H6" i="117"/>
  <c r="H6" i="86"/>
  <c r="K6" i="85"/>
  <c r="G6" i="85"/>
  <c r="B6" i="58"/>
  <c r="B6" i="117"/>
  <c r="G6" i="124"/>
  <c r="C6" i="105"/>
  <c r="I6" i="82"/>
  <c r="F6" i="15"/>
  <c r="B6" i="84"/>
  <c r="C6" i="129"/>
  <c r="B6" i="129"/>
  <c r="D6" i="129"/>
  <c r="E6" i="129"/>
  <c r="F6" i="129"/>
  <c r="C6" i="127"/>
  <c r="B6" i="127"/>
  <c r="D6" i="127"/>
  <c r="E6" i="127"/>
  <c r="E6" i="126"/>
  <c r="B6" i="126"/>
  <c r="F6" i="126"/>
  <c r="C6" i="126"/>
  <c r="G6" i="126"/>
  <c r="D6" i="126"/>
  <c r="C6" i="130"/>
  <c r="B6" i="130"/>
  <c r="D6" i="130"/>
  <c r="C6" i="70"/>
  <c r="B6" i="70"/>
  <c r="D6" i="70"/>
  <c r="F6" i="70"/>
  <c r="E6" i="70"/>
  <c r="E6" i="27"/>
  <c r="I6" i="27"/>
  <c r="H6" i="27"/>
  <c r="F6" i="27"/>
  <c r="B6" i="27"/>
  <c r="D6" i="27"/>
  <c r="C6" i="27"/>
  <c r="G6" i="27"/>
  <c r="F6" i="128"/>
  <c r="M6" i="128"/>
  <c r="C6" i="128"/>
  <c r="B6" i="128"/>
  <c r="E6" i="128"/>
  <c r="D6" i="128"/>
  <c r="B6" i="26"/>
  <c r="C6" i="26"/>
  <c r="D6" i="26"/>
  <c r="C6" i="114"/>
  <c r="G6" i="114"/>
  <c r="K6" i="114"/>
  <c r="J6" i="114"/>
  <c r="D6" i="114"/>
  <c r="H6" i="114"/>
  <c r="L6" i="114"/>
  <c r="F6" i="114"/>
  <c r="E6" i="114"/>
  <c r="I6" i="114"/>
  <c r="B6" i="114"/>
  <c r="G6" i="15"/>
  <c r="B6" i="15"/>
  <c r="D6" i="82"/>
  <c r="C6" i="15"/>
  <c r="I6" i="15"/>
  <c r="E6" i="15"/>
  <c r="B6" i="82"/>
  <c r="F6" i="82"/>
  <c r="J6" i="82"/>
  <c r="J6" i="105"/>
  <c r="F6" i="105"/>
  <c r="H6" i="15"/>
  <c r="D6" i="15"/>
  <c r="C6" i="82"/>
  <c r="G6" i="82"/>
  <c r="I6" i="105"/>
  <c r="E6" i="105"/>
  <c r="H6" i="82"/>
  <c r="H6" i="105"/>
  <c r="D6" i="105"/>
  <c r="J6" i="15"/>
  <c r="E6" i="82"/>
  <c r="B6" i="105"/>
  <c r="G6" i="105"/>
  <c r="B6" i="107"/>
  <c r="F6" i="22"/>
  <c r="B6" i="22"/>
  <c r="I6" i="22"/>
  <c r="C6" i="22"/>
  <c r="G6" i="22"/>
  <c r="E6" i="22"/>
  <c r="D6" i="22"/>
  <c r="H6" i="22"/>
  <c r="C6" i="25"/>
  <c r="G6" i="25"/>
  <c r="B6" i="25"/>
  <c r="D6" i="25"/>
  <c r="H6" i="25"/>
  <c r="F6" i="25"/>
  <c r="E6" i="25"/>
  <c r="I6" i="25"/>
  <c r="C6" i="23"/>
  <c r="B6" i="23"/>
  <c r="F6" i="23"/>
  <c r="D6" i="23"/>
  <c r="E6" i="23"/>
  <c r="C6" i="120"/>
  <c r="D6" i="120"/>
  <c r="B6" i="120"/>
  <c r="C6" i="68"/>
  <c r="D6" i="68"/>
  <c r="E6" i="68"/>
  <c r="B6" i="68"/>
  <c r="C6" i="48"/>
  <c r="B6" i="48"/>
  <c r="D6" i="48"/>
  <c r="F6" i="48"/>
  <c r="E6" i="48"/>
  <c r="C6" i="108"/>
  <c r="D6" i="108"/>
  <c r="B6" i="108"/>
  <c r="E6" i="108"/>
  <c r="B6" i="39"/>
  <c r="C6" i="39"/>
  <c r="D6" i="39"/>
  <c r="F6" i="21"/>
  <c r="C6" i="21"/>
  <c r="B6" i="21"/>
  <c r="E6" i="21"/>
  <c r="D6" i="21"/>
  <c r="D6" i="99"/>
  <c r="E6" i="99"/>
  <c r="B6" i="99"/>
  <c r="C6" i="99"/>
  <c r="C6" i="38"/>
  <c r="G6" i="38"/>
  <c r="D6" i="38"/>
  <c r="B6" i="38"/>
  <c r="E6" i="38"/>
  <c r="F6" i="38"/>
  <c r="C6" i="96"/>
  <c r="B6" i="96"/>
  <c r="C6" i="61"/>
  <c r="D6" i="61"/>
  <c r="E6" i="61"/>
  <c r="F6" i="61"/>
  <c r="C6" i="19"/>
  <c r="G6" i="19"/>
  <c r="D6" i="19"/>
  <c r="H6" i="19"/>
  <c r="E6" i="19"/>
  <c r="I6" i="19"/>
  <c r="F6" i="19"/>
  <c r="B6" i="19"/>
  <c r="E6" i="17"/>
  <c r="B6" i="17"/>
  <c r="C6" i="17"/>
  <c r="D6" i="17"/>
  <c r="E6" i="14"/>
  <c r="C6" i="14"/>
  <c r="G6" i="14"/>
  <c r="F6" i="14"/>
  <c r="D6" i="14"/>
  <c r="H6" i="14"/>
  <c r="H6" i="104"/>
  <c r="D6" i="104"/>
  <c r="G6" i="104"/>
  <c r="C6" i="104"/>
  <c r="J6" i="104"/>
  <c r="F6" i="104"/>
  <c r="B6" i="104"/>
  <c r="I6" i="104"/>
  <c r="E6" i="104"/>
  <c r="F7" i="111"/>
  <c r="J7" i="111"/>
  <c r="N7" i="111"/>
  <c r="R7" i="111"/>
  <c r="C7" i="111"/>
  <c r="K7" i="111"/>
  <c r="O7" i="111"/>
  <c r="S7" i="111"/>
  <c r="D7" i="111"/>
  <c r="H7" i="111"/>
  <c r="L7" i="111"/>
  <c r="P7" i="111"/>
  <c r="E7" i="111"/>
  <c r="I7" i="111"/>
  <c r="M7" i="111"/>
  <c r="Q7" i="111"/>
  <c r="C6" i="112"/>
  <c r="D6" i="112"/>
  <c r="B6" i="112"/>
  <c r="B6" i="14"/>
  <c r="B6" i="61"/>
  <c r="B6" i="97"/>
  <c r="D6" i="101"/>
  <c r="B6" i="101"/>
  <c r="C6" i="101"/>
  <c r="E6" i="98"/>
  <c r="F6" i="98"/>
  <c r="C6" i="98"/>
  <c r="G6" i="98"/>
  <c r="D6" i="98"/>
  <c r="H6" i="98"/>
  <c r="B6" i="13"/>
  <c r="F6" i="13"/>
  <c r="C6" i="13"/>
  <c r="G6" i="13"/>
  <c r="D6" i="13"/>
  <c r="H6" i="13"/>
  <c r="E6" i="13"/>
  <c r="D6" i="12"/>
  <c r="B6" i="98"/>
  <c r="B6" i="12"/>
  <c r="C6" i="12"/>
  <c r="D6" i="109"/>
  <c r="B6" i="109"/>
  <c r="E6" i="109"/>
  <c r="F6" i="109"/>
  <c r="C6" i="109"/>
  <c r="C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C59" i="121"/>
  <c r="C58" i="121"/>
  <c r="C57" i="121"/>
  <c r="C56" i="121"/>
  <c r="C55" i="121"/>
  <c r="C54" i="121"/>
  <c r="C53" i="121"/>
  <c r="C52" i="121"/>
  <c r="C51" i="121"/>
  <c r="C50" i="121"/>
  <c r="C49" i="121"/>
  <c r="C48" i="121"/>
  <c r="C47" i="121"/>
  <c r="C46" i="121"/>
  <c r="C45" i="121"/>
  <c r="C44" i="121"/>
  <c r="C43" i="121"/>
  <c r="C42" i="121"/>
  <c r="C41" i="121"/>
  <c r="C40" i="121"/>
  <c r="C39" i="121"/>
  <c r="C38" i="121"/>
  <c r="C37" i="121"/>
  <c r="C36" i="121"/>
  <c r="C35" i="121"/>
  <c r="C34" i="121"/>
  <c r="C33" i="121"/>
  <c r="C32" i="121"/>
  <c r="C31" i="121"/>
  <c r="C30" i="121"/>
  <c r="C29" i="121"/>
  <c r="C28" i="121"/>
  <c r="C27" i="121"/>
  <c r="C26" i="121"/>
  <c r="C25" i="121"/>
  <c r="C24" i="121"/>
  <c r="C23" i="121"/>
  <c r="C22" i="121"/>
  <c r="C21" i="121"/>
  <c r="C20" i="121"/>
  <c r="C19" i="121"/>
  <c r="C18" i="121"/>
  <c r="C17" i="121"/>
  <c r="C16" i="121"/>
  <c r="C15" i="121"/>
  <c r="C14" i="121"/>
  <c r="C13" i="121"/>
  <c r="C12" i="121"/>
  <c r="C11" i="121"/>
  <c r="C10" i="121"/>
  <c r="C9" i="121"/>
  <c r="C8" i="121"/>
  <c r="C7" i="121"/>
  <c r="C6" i="121"/>
  <c r="C5" i="121"/>
  <c r="C4" i="121"/>
  <c r="C2" i="121"/>
  <c r="C1" i="121"/>
  <c r="I6" i="75"/>
  <c r="D6" i="75"/>
  <c r="D6" i="34"/>
  <c r="I6" i="88"/>
  <c r="E6" i="88"/>
  <c r="E6" i="29"/>
  <c r="D6" i="29"/>
  <c r="F6" i="29"/>
  <c r="C6" i="29"/>
  <c r="C6" i="34"/>
  <c r="H6" i="88"/>
  <c r="D6" i="88"/>
  <c r="K6" i="129"/>
  <c r="Q6" i="129"/>
  <c r="R6" i="129"/>
  <c r="D6" i="76"/>
  <c r="G6" i="76"/>
  <c r="C6" i="76"/>
  <c r="E6" i="76"/>
  <c r="F6" i="76"/>
  <c r="B6" i="76"/>
  <c r="K6" i="88"/>
  <c r="G6" i="88"/>
  <c r="C6" i="88"/>
  <c r="P6" i="129"/>
  <c r="J6" i="129"/>
  <c r="J6" i="88"/>
  <c r="F6" i="88"/>
</calcChain>
</file>

<file path=xl/sharedStrings.xml><?xml version="1.0" encoding="utf-8"?>
<sst xmlns="http://schemas.openxmlformats.org/spreadsheetml/2006/main" count="2694" uniqueCount="966">
  <si>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</si>
  <si>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</si>
  <si>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</si>
  <si>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</si>
  <si>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</si>
  <si>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</si>
  <si>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</si>
  <si>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</si>
  <si>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</si>
  <si>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</si>
  <si>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</si>
  <si>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</si>
  <si>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</si>
  <si>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</si>
  <si>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</si>
  <si>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</si>
  <si>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</si>
  <si>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</si>
  <si>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</si>
  <si>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</si>
  <si>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</si>
  <si>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</si>
  <si>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</si>
  <si>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</si>
  <si>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</si>
  <si>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</si>
  <si>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</si>
  <si>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</si>
  <si>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</si>
  <si>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</si>
  <si>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</si>
  <si>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</si>
  <si>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</si>
  <si>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</si>
  <si>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</si>
  <si>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 xml:space="preserve">Källa: Energimyndigheten och SCB. </t>
  </si>
  <si>
    <t>Bensin</t>
  </si>
  <si>
    <t>Kärnkraft</t>
  </si>
  <si>
    <t>Kraftvärme</t>
  </si>
  <si>
    <t>Import minus export</t>
  </si>
  <si>
    <t>Olja</t>
  </si>
  <si>
    <t>Kondens</t>
  </si>
  <si>
    <t>Industriellt mottryck</t>
  </si>
  <si>
    <t>Elpannor</t>
  </si>
  <si>
    <t>Spillvärme</t>
  </si>
  <si>
    <t>Leverantör</t>
  </si>
  <si>
    <t>Norrenergi AB</t>
  </si>
  <si>
    <t>Göteborg Energi AB</t>
  </si>
  <si>
    <t>Mälarenergi AB</t>
  </si>
  <si>
    <t>Tekniska Verken i Linköping AB</t>
  </si>
  <si>
    <t>Södertörns Fjärrvärme AB</t>
  </si>
  <si>
    <t>Övriga</t>
  </si>
  <si>
    <t>Antal kunder (st.)</t>
  </si>
  <si>
    <t>Västerås</t>
  </si>
  <si>
    <t xml:space="preserve">Helsingborg </t>
  </si>
  <si>
    <t>Källa: Svensk Fjärrvärme.</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</si>
  <si>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</si>
  <si>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</si>
  <si>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</si>
  <si>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</si>
  <si>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</si>
  <si>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</si>
  <si>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</si>
  <si>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</si>
  <si>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</si>
  <si>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</si>
  <si>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</si>
  <si>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</si>
  <si>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</si>
  <si>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</si>
  <si>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</si>
  <si>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</si>
  <si>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</si>
  <si>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</si>
  <si>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</si>
  <si>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</si>
  <si>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</si>
  <si>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</si>
  <si>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</si>
  <si>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</si>
  <si>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</si>
  <si>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</si>
  <si>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</si>
  <si>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</si>
  <si>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</si>
  <si>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</si>
  <si>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</si>
  <si>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</si>
  <si>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</si>
  <si>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</si>
  <si>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</si>
  <si>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</si>
  <si>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</si>
  <si>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</si>
  <si>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</si>
  <si>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</si>
  <si>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</si>
  <si>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</si>
  <si>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</si>
  <si>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</si>
  <si>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</si>
  <si>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</si>
  <si>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</si>
  <si>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</si>
  <si>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</si>
  <si>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</si>
  <si>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</si>
  <si>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</si>
  <si>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</si>
  <si>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</si>
  <si>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</si>
  <si>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</si>
  <si>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</si>
  <si>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</si>
  <si>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</si>
  <si>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</si>
  <si>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</si>
  <si>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</si>
  <si>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</si>
  <si>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Källa: Nord Pool Spot.</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</si>
  <si>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</si>
  <si>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</si>
  <si>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</si>
  <si>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</si>
  <si>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</si>
  <si>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</si>
  <si>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</si>
  <si>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</si>
  <si>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</si>
  <si>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</si>
  <si>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</si>
  <si>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</si>
  <si>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</si>
  <si>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</si>
  <si>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</si>
  <si>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</si>
  <si>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</si>
  <si>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</si>
  <si>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</si>
  <si>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</si>
  <si>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</si>
  <si>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</si>
  <si>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</si>
  <si>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</si>
  <si>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</si>
  <si>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</si>
  <si>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</si>
  <si>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</si>
  <si>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</si>
  <si>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</si>
  <si>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</si>
  <si>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</si>
  <si>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</si>
  <si>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</si>
  <si>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</si>
  <si>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</si>
  <si>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</si>
  <si>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</si>
  <si>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</si>
  <si>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</si>
  <si>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</si>
  <si>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SPBI</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</si>
  <si>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</si>
  <si>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</si>
  <si>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</si>
  <si>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</si>
  <si>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</si>
  <si>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</si>
  <si>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</si>
  <si>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</si>
  <si>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</si>
  <si>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</si>
  <si>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</si>
  <si>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</si>
  <si>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</si>
  <si>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Eldningsolja 1, ( &lt;0,05 % svavel)</t>
  </si>
  <si>
    <t>Eldningsolja 5, (0,4 % svavel)</t>
  </si>
  <si>
    <t>Kol, (0,5 % svavel)</t>
  </si>
  <si>
    <t>kr/ton</t>
  </si>
  <si>
    <t>Gasol</t>
  </si>
  <si>
    <t>Drivmedel</t>
  </si>
  <si>
    <t>Bensin, blyfri, miljöklass 1</t>
  </si>
  <si>
    <t>kr/l</t>
  </si>
  <si>
    <t>Låginblandad etanol</t>
  </si>
  <si>
    <t>Diesel, miljöklass 1</t>
  </si>
  <si>
    <t>Låginblandad FAME</t>
  </si>
  <si>
    <t>Naturgas/metan</t>
  </si>
  <si>
    <t>Elanvändning</t>
  </si>
  <si>
    <t>öre/kWh</t>
  </si>
  <si>
    <t>Eldningsolja 5</t>
  </si>
  <si>
    <t>Animaliskt fett</t>
  </si>
  <si>
    <t>Ukraina</t>
  </si>
  <si>
    <t>Sockerbetor</t>
  </si>
  <si>
    <t>Brasilien</t>
  </si>
  <si>
    <t>Rumänien</t>
  </si>
  <si>
    <t>Guatemala</t>
  </si>
  <si>
    <t>Asien: LNG Japan</t>
  </si>
  <si>
    <t>Regional energianvändning per capita och energislag, kWh</t>
  </si>
  <si>
    <t>Vattenfall AB Värme</t>
  </si>
  <si>
    <t>Fortum Värme,  AB s.m. Stockholms stad</t>
  </si>
  <si>
    <t>Öresundskraft AB</t>
  </si>
  <si>
    <t>Kraftringen AB</t>
  </si>
  <si>
    <t xml:space="preserve">Uppsala </t>
  </si>
  <si>
    <t>Linköping</t>
  </si>
  <si>
    <t xml:space="preserve">Solna/Sundbyberg </t>
  </si>
  <si>
    <t xml:space="preserve">Göteborg </t>
  </si>
  <si>
    <t xml:space="preserve">Huddinge/Botkyrka/Salem </t>
  </si>
  <si>
    <t>Stockholm/Nacka</t>
  </si>
  <si>
    <t xml:space="preserve">Lund </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</si>
  <si>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</si>
  <si>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</si>
  <si>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</si>
  <si>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</si>
  <si>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</si>
  <si>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</si>
  <si>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</si>
  <si>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</si>
  <si>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</si>
  <si>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</si>
  <si>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</si>
  <si>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</si>
  <si>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</si>
  <si>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</si>
  <si>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</si>
  <si>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</si>
  <si>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Källa: Energimyndigheten, SCB, SPBI.</t>
  </si>
  <si>
    <t xml:space="preserve">Källa: Energimyndigheten, SCB, Transportstyrelsen. </t>
  </si>
  <si>
    <t>Källa: SCB och SPBI.</t>
  </si>
  <si>
    <t>Källa: Veckostatistik Kraftläget. Svensk Energi.</t>
  </si>
  <si>
    <t>Natur- och stadsgas</t>
  </si>
  <si>
    <t xml:space="preserve">Natur- och stadsgas </t>
  </si>
  <si>
    <t>Avlutar</t>
  </si>
  <si>
    <t>Övriga fasta biobränslen</t>
  </si>
  <si>
    <t>Bioetanol</t>
  </si>
  <si>
    <t>Tall- och beckolja</t>
  </si>
  <si>
    <t>Vegetabiliska och animaliska oljor</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</si>
  <si>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</si>
  <si>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</si>
  <si>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</si>
  <si>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</si>
  <si>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</si>
  <si>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</si>
  <si>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</si>
  <si>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</si>
  <si>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</si>
  <si>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</si>
  <si>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Gårdsbioanläggningar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</si>
  <si>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</si>
  <si>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</si>
  <si>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</si>
  <si>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</si>
  <si>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</si>
  <si>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</si>
  <si>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</si>
  <si>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</si>
  <si>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</si>
  <si>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</si>
  <si>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</si>
  <si>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</si>
  <si>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</si>
  <si>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</si>
  <si>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 xml:space="preserve">            Energistatistik i småhus, flerbostadshus och lokaler.</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</si>
  <si>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</si>
  <si>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</si>
  <si>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</si>
  <si>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</si>
  <si>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</si>
  <si>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</si>
  <si>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</si>
  <si>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</si>
  <si>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</si>
  <si>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</si>
  <si>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</si>
  <si>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</si>
  <si>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</si>
  <si>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</si>
  <si>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</si>
  <si>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</si>
  <si>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</si>
  <si>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</si>
  <si>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</si>
  <si>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</si>
  <si>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</si>
  <si>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</si>
  <si>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</si>
  <si>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</si>
  <si>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</si>
  <si>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</si>
  <si>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</si>
  <si>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</si>
  <si>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</si>
  <si>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</si>
  <si>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</si>
  <si>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</si>
  <si>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</si>
  <si>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</si>
  <si>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</si>
  <si>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</si>
  <si>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</si>
  <si>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</si>
  <si>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</si>
  <si>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</si>
  <si>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</si>
  <si>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</si>
  <si>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</si>
  <si>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</si>
  <si>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</si>
  <si>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</si>
  <si>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</si>
  <si>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</si>
  <si>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</si>
  <si>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</si>
  <si>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</si>
  <si>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</si>
  <si>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</si>
  <si>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</si>
  <si>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</si>
  <si>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</si>
  <si>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Slutlig energianvändning i transportsektorn, inrikes, fr.om. 1970, TWh</t>
  </si>
  <si>
    <t>6.1</t>
  </si>
  <si>
    <t>6.2</t>
  </si>
  <si>
    <t>6.3</t>
  </si>
  <si>
    <t>6.4</t>
  </si>
  <si>
    <t>6.5</t>
  </si>
  <si>
    <t>6.6</t>
  </si>
  <si>
    <t>6.7</t>
  </si>
  <si>
    <t>6.8</t>
  </si>
  <si>
    <t>6.9</t>
  </si>
  <si>
    <t>7.1</t>
  </si>
  <si>
    <t>7.2</t>
  </si>
  <si>
    <t>7.3</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</si>
  <si>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</si>
  <si>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</si>
  <si>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</si>
  <si>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</si>
  <si>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</si>
  <si>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</si>
  <si>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</si>
  <si>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</si>
  <si>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</si>
  <si>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</si>
  <si>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</si>
  <si>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</si>
  <si>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</si>
  <si>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</si>
  <si>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</si>
  <si>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</si>
  <si>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</si>
  <si>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</si>
  <si>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</si>
  <si>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</si>
  <si>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</si>
  <si>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</si>
  <si>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</si>
  <si>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</si>
  <si>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</si>
  <si>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</si>
  <si>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</si>
  <si>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</si>
  <si>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</si>
  <si>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</si>
  <si>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</si>
  <si>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</si>
  <si>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</si>
  <si>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</si>
  <si>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</si>
  <si>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</si>
  <si>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</si>
  <si>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</si>
  <si>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</si>
  <si>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</si>
  <si>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http://www.energimyndigheten.se/Statistik/Energibalans/</t>
  </si>
  <si>
    <t>http://spbi.se/statistik/priser/</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</si>
  <si>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</si>
  <si>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</si>
  <si>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</si>
  <si>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</si>
  <si>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</si>
  <si>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</si>
  <si>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</si>
  <si>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</si>
  <si>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</si>
  <si>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</si>
  <si>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</si>
  <si>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</si>
  <si>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</si>
  <si>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Höginblandad FAME</t>
  </si>
  <si>
    <t>kr/kg</t>
  </si>
  <si>
    <t>Källa: Skatteverket. Energimyndighetens bearbetning.</t>
  </si>
  <si>
    <t>Nätlängd (km)</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</si>
  <si>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</si>
  <si>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</si>
  <si>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</si>
  <si>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</si>
  <si>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</si>
  <si>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</si>
  <si>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</si>
  <si>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Källa: Energimyndigheten och SCB.
Energistatistik i småhus, flerbostadshus och lokaler.</t>
  </si>
  <si>
    <t>EU</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</si>
  <si>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</si>
  <si>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</si>
  <si>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</si>
  <si>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</si>
  <si>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</si>
  <si>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</si>
  <si>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</si>
  <si>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</si>
  <si>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</si>
  <si>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</si>
  <si>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</si>
  <si>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</si>
  <si>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Tillsvidarepris</t>
  </si>
  <si>
    <t>Rörligt pris</t>
  </si>
  <si>
    <t>Avtal med avtalslängd 1–3 år</t>
  </si>
  <si>
    <t>Rörligt</t>
  </si>
  <si>
    <t>§</t>
  </si>
  <si>
    <t>Biobränsle och avfall</t>
  </si>
  <si>
    <t>Geotermisk, sol m.m.</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</si>
  <si>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</si>
  <si>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</si>
  <si>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</si>
  <si>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</si>
  <si>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</si>
  <si>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</si>
  <si>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</si>
  <si>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</si>
  <si>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</si>
  <si>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</si>
  <si>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</si>
  <si>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</si>
  <si>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 xml:space="preserve">Källa: Energimyndigheten och SCB. 
Månatlig bränsle-, gas- och lagerstatistik. EN0107. </t>
  </si>
  <si>
    <t>Torv, 45 % fukthalt (0,24 % svavel)</t>
  </si>
  <si>
    <t>Etanol i E85</t>
  </si>
  <si>
    <t>6.14</t>
  </si>
  <si>
    <t>Energiskatt på elektrisk kraft fr.o.m. 1993, öre/kWh</t>
  </si>
  <si>
    <t>Källa: Skatteverket</t>
  </si>
  <si>
    <t>1) Samtliga kommuner i Norrbottens, Västerbottens och Jämtlands län samt kommunerna Sollefteå, Ånge, Örnsköldsvik, Ljusdal, Malung, Mora, Orsa, Älvdalen och Torsby.</t>
  </si>
  <si>
    <t>Industriell verksamhet, växthus</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</si>
  <si>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</si>
  <si>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Produktion av biogas per anläggningskategori fr.o.m. 2005, GWh</t>
  </si>
  <si>
    <t>Tillförsel av pellets till den svenska marknaden fr.o.m. 1997, TWh</t>
  </si>
  <si>
    <t>Levererad mängd (GWh), antal kunder och längd på nätet (km) för fjärrkyla, fr.o.m. 1992</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</si>
  <si>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</si>
  <si>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</si>
  <si>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</si>
  <si>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</si>
  <si>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</si>
  <si>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</si>
  <si>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</si>
  <si>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</si>
  <si>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</si>
  <si>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</si>
  <si>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</si>
  <si>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</si>
  <si>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</si>
  <si>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</si>
  <si>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</si>
  <si>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</si>
  <si>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</si>
  <si>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</si>
  <si>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</si>
  <si>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</si>
  <si>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</si>
  <si>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</si>
  <si>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Energiläget i siffror 2017</t>
  </si>
  <si>
    <t>2016</t>
  </si>
  <si>
    <t>Källa: BP Statistical Review of World Energy 2016. Energimyndighetens bearbetning.</t>
  </si>
  <si>
    <t>Global tillförsel av olja, naturgas och kol, 2015, TWh och procent</t>
  </si>
  <si>
    <t>Global produktion av olja, naturgas och kol, 2015, TWh och procent</t>
  </si>
  <si>
    <t xml:space="preserve">Statistik som baseras på energibalanserna sträcker sig t.o.m. 2015. </t>
  </si>
  <si>
    <t>En del övrig statistik, t.ex. priser, redovisas ibland t.o.m. 2016.</t>
  </si>
  <si>
    <t>http://www.energimyndigheten.se/statistik/bostader-och-lokaler/</t>
  </si>
  <si>
    <t>http://www.energimyndigheten.se/statistik/energiprisutveckling/</t>
  </si>
  <si>
    <t>http://www.scb.se/hitta-statistik/statistik-efter-amne/nationalrakenskaper/nationalrakenskaper/nationalrakenskaper-kvartals-och-arsberakningar/</t>
  </si>
  <si>
    <t>Kolpriser i Europa, USA och Asien, fr.o.m. 1990, USD/ton</t>
  </si>
  <si>
    <t>Industrins specifika energianvändning fr.o.m. 1981, kWh per krona förädlingsvärde i 2015 års prisnivå</t>
  </si>
  <si>
    <t>Energipriser för hushåll och lokaler fr.o.m. 1970, i 2016 års prisnivå, öre/kWh</t>
  </si>
  <si>
    <t>Drivmedelspriser fr.o.m. 1980, i 2016 års prisnivå, kr/liter</t>
  </si>
  <si>
    <t>Allmänna energi- och miljöskatter från 1 januari 2017</t>
  </si>
  <si>
    <t>1) Övriga bränslen ingår i biobränslen före 1983.</t>
  </si>
  <si>
    <r>
      <t>2)</t>
    </r>
    <r>
      <rPr>
        <sz val="10"/>
        <rFont val="Calibri"/>
        <family val="2"/>
      </rPr>
      <t xml:space="preserve"> Till och med 1989 inkluderas utrikes flyg i posten råolja och petroleumprodukter.</t>
    </r>
  </si>
  <si>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</si>
  <si>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</si>
  <si>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</si>
  <si>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</si>
  <si>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</si>
  <si>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</si>
  <si>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</si>
  <si>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</si>
  <si>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</si>
  <si>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r>
      <t xml:space="preserve">1) Priserna redovisas i </t>
    </r>
    <r>
      <rPr>
        <sz val="10"/>
        <rFont val="Calibri"/>
        <family val="2"/>
      </rPr>
      <t>2016 års prisnivå, konsumentprisindex (KPI) används för omräkning av priser.</t>
    </r>
  </si>
  <si>
    <t>2) Insatt bränsle för elproduktion inom industrin (industriell kraftvärme) är inte inkluderad i denna tabell.</t>
  </si>
  <si>
    <t xml:space="preserve">Anmärkningar: </t>
  </si>
  <si>
    <t>1) I kemisk industri ingår SNI 19–22 till och med år 2004, fr.o.m. 2005 ingår SNI 20–22.</t>
  </si>
  <si>
    <t>Luftfart</t>
  </si>
  <si>
    <t>2) Energianvändning för utrikes transporter avser kvantiteter som levererats nationellt men som används utanför Sveriges gräns och ingår inte i Sveriges totala energianvändning.</t>
  </si>
  <si>
    <t>Utrikes luftfart</t>
  </si>
  <si>
    <t>1) Priserna redovisas i 2016 års prisnivå, konsumentprisindex (KPI) används för omräkning av priser.</t>
  </si>
  <si>
    <t xml:space="preserve">1)  Energisektorns egenanvändning ingår inte. </t>
  </si>
  <si>
    <t>1) Produktion av el för egenanvändning ingår inte.</t>
  </si>
  <si>
    <t>Årsförbrukning för lägenhet: 2000 kWh; villa utan elvärme: 5000 kWh; villa med elvärme: 20000 kWh; jord- och skogsbruk: 30000 kWh; näringsverksamhet: 100 MWh; småindustri: 350 MWh.</t>
  </si>
  <si>
    <t>1) Fr.o.m. april 2013 redovisats elprisstatistik  på olika elområden. Den statistik som redovisas i tabellerna avser elområde 3.</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</si>
  <si>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</si>
  <si>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</si>
  <si>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</si>
  <si>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</si>
  <si>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</si>
  <si>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r>
      <t xml:space="preserve">1) </t>
    </r>
    <r>
      <rPr>
        <i/>
        <sz val="9"/>
        <rFont val="Calibri"/>
        <family val="2"/>
        <scheme val="minor"/>
      </rPr>
      <t>Förädlat trädbränsle</t>
    </r>
    <r>
      <rPr>
        <sz val="9"/>
        <rFont val="Calibri"/>
        <family val="2"/>
        <scheme val="minor"/>
      </rPr>
      <t xml:space="preserve"> = pellets; </t>
    </r>
    <r>
      <rPr>
        <i/>
        <sz val="9"/>
        <rFont val="Calibri"/>
        <family val="2"/>
        <scheme val="minor"/>
      </rPr>
      <t>skogsflis</t>
    </r>
    <r>
      <rPr>
        <sz val="9"/>
        <rFont val="Calibri"/>
        <family val="2"/>
        <scheme val="minor"/>
      </rPr>
      <t xml:space="preserve"> = flisade avverkningsrester, flisad rundved m.m.; </t>
    </r>
    <r>
      <rPr>
        <i/>
        <sz val="9"/>
        <rFont val="Calibri"/>
        <family val="2"/>
        <scheme val="minor"/>
      </rPr>
      <t>biprodukter</t>
    </r>
    <r>
      <rPr>
        <sz val="9"/>
        <rFont val="Calibri"/>
        <family val="2"/>
        <scheme val="minor"/>
      </rPr>
      <t xml:space="preserve"> = spån, bark m.m.; </t>
    </r>
    <r>
      <rPr>
        <i/>
        <sz val="9"/>
        <rFont val="Calibri"/>
        <family val="2"/>
        <scheme val="minor"/>
      </rPr>
      <t>returträ</t>
    </r>
    <r>
      <rPr>
        <sz val="9"/>
        <rFont val="Calibri"/>
        <family val="2"/>
        <scheme val="minor"/>
      </rPr>
      <t xml:space="preserve"> = återvunnet trä, RT-flis, m.m.
</t>
    </r>
  </si>
  <si>
    <t>1) Fram till och med 1997 inkluderas importen från Ryssland i "Övriga".</t>
  </si>
  <si>
    <t>Anmärkning:</t>
  </si>
  <si>
    <t>1) MBTU = Mega British Thermal Unit.</t>
  </si>
  <si>
    <t>1) Beräkningar enligt förnybartdirektivet. Underlagsdata fr.o.m. 2005 skiljer sig från tidigare år.</t>
  </si>
  <si>
    <t>1) Utöver skatterna tillkommer moms med 25 % (avdragsgill för företag).</t>
  </si>
  <si>
    <t>1) Industri som omfattas av EU:s system för handel med utsläppsrätter (EU ETS) betalar sedan den 1 jan 2011 ingen koldioxidskatt.</t>
  </si>
  <si>
    <t xml:space="preserve">2) Energiskatten för råtallolja för industri, jordbruk, skogsbruk och vattenbruk är lika med den totala skatten för eldningsolja 1 för samma verksamheter.  </t>
  </si>
  <si>
    <t>Energi- och miljöskatter för industri, jordbruk, skogsbruk och vattenbruk från 1 januari 2017</t>
  </si>
  <si>
    <t xml:space="preserve">1) Primär värme avser  värmepumpar i fjärrvärmeverk. </t>
  </si>
  <si>
    <r>
      <t>Kärnbränsle</t>
    </r>
    <r>
      <rPr>
        <sz val="10"/>
        <color indexed="8"/>
        <rFont val="Calibri"/>
        <family val="2"/>
      </rPr>
      <t/>
    </r>
  </si>
  <si>
    <r>
      <t>Import-export el</t>
    </r>
    <r>
      <rPr>
        <vertAlign val="superscript"/>
        <sz val="10"/>
        <rFont val="Calibri"/>
        <family val="2"/>
      </rPr>
      <t/>
    </r>
  </si>
  <si>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</si>
  <si>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</si>
  <si>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</si>
  <si>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</si>
  <si>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</si>
  <si>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</si>
  <si>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Utrikes flyg inkluderas i posten slutlig energianvändning  till och med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</si>
  <si>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</si>
  <si>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</si>
  <si>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</si>
  <si>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1) Flygbränsle för utrikes luftfart ingår  under flygbränsle för inrikes transporter till och med 1989.</t>
  </si>
  <si>
    <t>1) Från och med april 2013 redovisats elprisstatistik  på olika elområden. Den statistik som redovisas i tabellerna avser elområde 3.</t>
  </si>
  <si>
    <t xml:space="preserve">2) Från och med april 2013 är priserna modellberäknade. </t>
  </si>
  <si>
    <t>1) Utrikes flyg inkluderas i posten petroleumprodukter till och med 1989.</t>
  </si>
  <si>
    <t>1) Utrikes flyg inkluderas  i posten inrikes transporter till och med 1989.</t>
  </si>
  <si>
    <t>1) Fiske inkluderas i posten jordbruk till och med 2004.</t>
  </si>
  <si>
    <t>2) Statistik finns ej för 2015.</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</si>
  <si>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</si>
  <si>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</si>
  <si>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</si>
  <si>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</si>
  <si>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Källa: BP Statistical Review of World Energy 2016.</t>
  </si>
  <si>
    <t>ID</t>
  </si>
  <si>
    <t>Svenska</t>
  </si>
  <si>
    <t>English</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</si>
  <si>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</si>
  <si>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</si>
  <si>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</si>
  <si>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</si>
  <si>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</si>
  <si>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</si>
  <si>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</si>
  <si>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</si>
  <si>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</si>
  <si>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</si>
  <si>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</si>
  <si>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</si>
  <si>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</si>
  <si>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</si>
  <si>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Uppvärmd area i småhus, flerbostadshus och lokaler fr.o.m. 1983, miljoner m2</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</si>
  <si>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</si>
  <si>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</si>
  <si>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</si>
  <si>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</si>
  <si>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</si>
  <si>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</si>
  <si>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</si>
  <si>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Energipriser för industrisektorn fr.o.m. 1986, i 2015 års prisnivå, öre/kWh</t>
  </si>
  <si>
    <t>Energy prices for industrial customers, from 1986, real (2015) prices, öre/kWh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</si>
  <si>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</si>
  <si>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</si>
  <si>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</si>
  <si>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</si>
  <si>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</si>
  <si>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</si>
  <si>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</si>
  <si>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</si>
  <si>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</si>
  <si>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Windpower, number of turbines, capacity (MW) and production (GWh), from 1982</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</si>
  <si>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</si>
  <si>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</si>
  <si>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</si>
  <si>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</si>
  <si>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</si>
  <si>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</si>
  <si>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</si>
  <si>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</si>
  <si>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</si>
  <si>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</si>
  <si>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</si>
  <si>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</si>
  <si>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District cooling, supply (GWh), number of customers and grid length (km), from 1992</t>
  </si>
  <si>
    <t>Biomass</t>
  </si>
  <si>
    <t>Use of biomass, per sector, from 1983, TWh</t>
  </si>
  <si>
    <t>Use of biomass, by fuel category, from 2005, GWh</t>
  </si>
  <si>
    <t>Use of undensified and densified wood fuels in the residential and services sector, from 1997, TWh</t>
  </si>
  <si>
    <t>Råvarans ursprungsland för FAME som använts i Sverige fr.o.m. 2011, hållbar mängd (m3)</t>
  </si>
  <si>
    <t>FAME used in Sweden, by country of origin, from 2011, sustainable volume (m3)</t>
  </si>
  <si>
    <t>Råvaror för HVO som använts i Sverige fr.o.m. 2011, hållbar mängd (m3)</t>
  </si>
  <si>
    <t>Raw materials for HVO used in Sweden, from 2011, sustainable volume (m3)</t>
  </si>
  <si>
    <t>Råvarans ursprungsland för HVO som använts i Sverige fr.o.m. 2011, hållbar mängd (m3)</t>
  </si>
  <si>
    <t>HVO used in Sweden, by country of origin, from 2011, sustainable volume (m3)</t>
  </si>
  <si>
    <t>Råvaror för etanol som använts i Sverige fr.o.m. 2011, hållbar mängd (m3)</t>
  </si>
  <si>
    <t>Raw materials for ethanol used in Sweden, from 2011, sustainable volume (m3)</t>
  </si>
  <si>
    <t>Råvarans ursprungsland för etanol som använts i Sverige fr.o.m. 2011, hållbar mängd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</si>
  <si>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</si>
  <si>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</si>
  <si>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</si>
  <si>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</si>
  <si>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</si>
  <si>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</si>
  <si>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</si>
  <si>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</si>
  <si>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</si>
  <si>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</si>
  <si>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</si>
  <si>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</si>
  <si>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</si>
  <si>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</si>
  <si>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</si>
  <si>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</si>
  <si>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</si>
  <si>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</si>
  <si>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</si>
  <si>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</si>
  <si>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</si>
  <si>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</si>
  <si>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production of oil, natural gas and coal 2014, by region, TWh and percent of total</t>
  </si>
  <si>
    <t>World consumption of oil, natural gas and coal 2014, by region, TWh and percent of total</t>
  </si>
  <si>
    <t>World energy consumption per capita, by region, kWh</t>
  </si>
  <si>
    <t>Other</t>
  </si>
  <si>
    <t>Share of renewables in energy use in Sweden, from 1990, percent</t>
  </si>
  <si>
    <t>Energy use in the industrial sector, from 1981, kWh per real (2015) SEK value added</t>
  </si>
  <si>
    <t>Road transport fuel prices, from 1980, real (2016) prices, SEK/litre</t>
  </si>
  <si>
    <t>Energy prices for the residential and services sector, from 1970, real (2016) prices, öre/kWh</t>
  </si>
  <si>
    <t>Electricity production capacity, from 1996, MW</t>
  </si>
  <si>
    <t>General energy and environmental taxes, from 1 January 2017</t>
  </si>
  <si>
    <t>Primär värme</t>
  </si>
  <si>
    <t>id</t>
  </si>
  <si>
    <t>Coal and coke</t>
  </si>
  <si>
    <t>Natural gas, gasworks gas</t>
  </si>
  <si>
    <t>Other fuels</t>
  </si>
  <si>
    <t>Windpower</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</si>
  <si>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</si>
  <si>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</si>
  <si>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</si>
  <si>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</si>
  <si>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</si>
  <si>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</si>
  <si>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</si>
  <si>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</si>
  <si>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</si>
  <si>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</si>
  <si>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</si>
  <si>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</si>
  <si>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</si>
  <si>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</si>
  <si>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</si>
  <si>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</si>
  <si>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</si>
  <si>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</si>
  <si>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</si>
  <si>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</si>
  <si>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</si>
  <si>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</si>
  <si>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</si>
  <si>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</si>
  <si>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</si>
  <si>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</si>
  <si>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</si>
  <si>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</si>
  <si>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</si>
  <si>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</si>
  <si>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</si>
  <si>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</si>
  <si>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</si>
  <si>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Domestic transports</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</si>
  <si>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</si>
  <si>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</si>
  <si>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</si>
  <si>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</si>
  <si>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</si>
  <si>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</si>
  <si>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</si>
  <si>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</si>
  <si>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</si>
  <si>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</si>
  <si>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</si>
  <si>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</si>
  <si>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</si>
  <si>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</si>
  <si>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</si>
  <si>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</si>
  <si>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</si>
  <si>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</si>
  <si>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</si>
  <si>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</si>
  <si>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</si>
  <si>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</si>
  <si>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</si>
  <si>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</si>
  <si>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</si>
  <si>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</si>
  <si>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</si>
  <si>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</si>
  <si>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</si>
  <si>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</si>
  <si>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</si>
  <si>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</si>
  <si>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</si>
  <si>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</si>
  <si>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</si>
  <si>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</si>
  <si>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</si>
  <si>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</si>
  <si>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</si>
  <si>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</si>
  <si>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</si>
  <si>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</si>
  <si>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</si>
  <si>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</si>
  <si>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</si>
  <si>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</si>
  <si>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</si>
  <si>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</si>
  <si>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</si>
  <si>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</si>
  <si>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</si>
  <si>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</si>
  <si>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</si>
  <si>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</si>
  <si>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</si>
  <si>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</si>
  <si>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</si>
  <si>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</si>
  <si>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</si>
  <si>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</si>
  <si>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</si>
  <si>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</si>
  <si>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</si>
  <si>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</si>
  <si>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</si>
  <si>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</si>
  <si>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</si>
  <si>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</si>
  <si>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</si>
  <si>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CO2-skatt</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</si>
  <si>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</si>
  <si>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</si>
  <si>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</si>
  <si>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</si>
  <si>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</si>
  <si>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</si>
  <si>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</si>
  <si>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</si>
  <si>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</si>
  <si>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</si>
  <si>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</si>
  <si>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</si>
  <si>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Other contracts1</t>
  </si>
  <si>
    <t>Industrial processes</t>
  </si>
  <si>
    <t>Certain northern municipalities1</t>
  </si>
  <si>
    <t>Electric boilers</t>
  </si>
  <si>
    <t>Heat pumps</t>
  </si>
  <si>
    <t>Waste heat</t>
  </si>
  <si>
    <t>Supplier</t>
  </si>
  <si>
    <t>Others</t>
  </si>
  <si>
    <t>Number of customers</t>
  </si>
  <si>
    <t>Grid length (km)</t>
  </si>
  <si>
    <t>Electricity production</t>
  </si>
  <si>
    <t>Densified wood fuel</t>
  </si>
  <si>
    <t>Undensified wood fuel</t>
  </si>
  <si>
    <t>Black liquor</t>
  </si>
  <si>
    <t>Other solid biofuels</t>
  </si>
  <si>
    <t>Bioethanol</t>
  </si>
  <si>
    <t>Tall oil pitch</t>
  </si>
  <si>
    <t>Vegetable and animal oils</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</si>
  <si>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</si>
  <si>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</si>
  <si>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</si>
  <si>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</si>
  <si>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</si>
  <si>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</si>
  <si>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</si>
  <si>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</si>
  <si>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</si>
  <si>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</si>
  <si>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</si>
  <si>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</si>
  <si>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</si>
  <si>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</si>
  <si>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</si>
  <si>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</si>
  <si>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</si>
  <si>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</si>
  <si>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</si>
  <si>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</si>
  <si>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</si>
  <si>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</si>
  <si>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</si>
  <si>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</si>
  <si>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</si>
  <si>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</si>
  <si>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</si>
  <si>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</si>
  <si>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</si>
  <si>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</si>
  <si>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</si>
  <si>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</si>
  <si>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</si>
  <si>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</si>
  <si>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</si>
  <si>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</si>
  <si>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</si>
  <si>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</si>
  <si>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</si>
  <si>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</si>
  <si>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 xml:space="preserve">Oil </t>
  </si>
  <si>
    <t>Geothermal, solar etc.</t>
  </si>
  <si>
    <t>Biomass, waste</t>
  </si>
  <si>
    <t>North America</t>
  </si>
  <si>
    <t>Central and South America</t>
  </si>
  <si>
    <t>China</t>
  </si>
  <si>
    <t>Middle East</t>
  </si>
  <si>
    <t>Asia, other</t>
  </si>
  <si>
    <t>Africa</t>
  </si>
  <si>
    <t>Waste</t>
  </si>
  <si>
    <t>Renewables</t>
  </si>
  <si>
    <t>Share of energy from renewable sources</t>
  </si>
  <si>
    <t>Heating, cooling, industrial etc.</t>
  </si>
  <si>
    <t>Transports</t>
  </si>
  <si>
    <t>Unit</t>
  </si>
  <si>
    <t>Energy tax</t>
  </si>
  <si>
    <t>CO2 tax</t>
  </si>
  <si>
    <t>Sulphur tax</t>
  </si>
  <si>
    <t>Total tax</t>
  </si>
  <si>
    <t>Total tax öre/kWh</t>
  </si>
  <si>
    <t>Natural gas price</t>
  </si>
  <si>
    <t>Total energy</t>
  </si>
  <si>
    <t>Naturgaspris</t>
  </si>
  <si>
    <t>International aviation</t>
  </si>
  <si>
    <t>Aviation</t>
  </si>
  <si>
    <t>Oil from vegetable or animal waste</t>
  </si>
  <si>
    <t>Slaughterhouse waste</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</si>
  <si>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</si>
  <si>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</si>
  <si>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</si>
  <si>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</si>
  <si>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</si>
  <si>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</si>
  <si>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</si>
  <si>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</si>
  <si>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</si>
  <si>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</si>
  <si>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</si>
  <si>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</si>
  <si>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</si>
  <si>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Farm biogas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</si>
  <si>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</si>
  <si>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</si>
  <si>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</si>
  <si>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</si>
  <si>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</si>
  <si>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</si>
  <si>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</si>
  <si>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</si>
  <si>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</si>
  <si>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</si>
  <si>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</si>
  <si>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</si>
  <si>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 xml:space="preserve">Import-export of electricity3 </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</si>
  <si>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</si>
  <si>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</si>
  <si>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</si>
  <si>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</si>
  <si>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</si>
  <si>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</si>
  <si>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</si>
  <si>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</si>
  <si>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</si>
  <si>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</si>
  <si>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</si>
  <si>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</si>
  <si>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</si>
  <si>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 xml:space="preserve">Primär värme </t>
  </si>
  <si>
    <t>2) Kärnkraft redovisas brutto, dvs. som tillförd kärnbränsleenergi enligt FN/ECE:s riktlinjer.</t>
  </si>
  <si>
    <t>3) Nettoimport av el räknas som tillförsel.</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</si>
  <si>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</si>
  <si>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</si>
  <si>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</si>
  <si>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</si>
  <si>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</si>
  <si>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http://www.energimyndigheten.se/Statistik/Energibalans/?currentTab=1#mainheading</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</si>
  <si>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</si>
  <si>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</si>
  <si>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</si>
  <si>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</si>
  <si>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</si>
  <si>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</si>
  <si>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http://www.energimyndigheten.se/Statistik/Slutlig-anvandning/Bostader-och-service/Smahus-flerbostadshus-och-lokaler/</t>
  </si>
  <si>
    <t xml:space="preserve">Price statistics </t>
  </si>
  <si>
    <t>http://www.energimyndigheten.se/statistik/energipriser/</t>
  </si>
  <si>
    <t>Statistics Sweden</t>
  </si>
  <si>
    <t>Consumer price index (CPI)</t>
  </si>
  <si>
    <t>Value added, national accounts</t>
  </si>
  <si>
    <t>Price statistics</t>
  </si>
  <si>
    <t>International statistics</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</si>
  <si>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</si>
  <si>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Swedish Energy Agency</t>
  </si>
  <si>
    <t>Fuels</t>
  </si>
  <si>
    <t>Heating oil, ( &lt;0,05 % sulphur)</t>
  </si>
  <si>
    <t>Heavy fuel oil, (0,4 % sulphur)</t>
  </si>
  <si>
    <t>Coal, (0,5 % sulphur)</t>
  </si>
  <si>
    <t>Crude tall oil</t>
  </si>
  <si>
    <t>Peat, 45 % moisture content (0,24 % sulphur)</t>
  </si>
  <si>
    <t>Motor fuels</t>
  </si>
  <si>
    <t>Petrol, unleaded, environmental class 1</t>
  </si>
  <si>
    <t>Ethanol, low-blended</t>
  </si>
  <si>
    <t>Diesel, environmental class 1</t>
  </si>
  <si>
    <t>Ethanol in E85</t>
  </si>
  <si>
    <t>FAME, low-blended</t>
  </si>
  <si>
    <t>FAME, high-blended</t>
  </si>
  <si>
    <t>Natural gas/methane</t>
  </si>
  <si>
    <t>Electricity use</t>
  </si>
  <si>
    <t>Electricity, northern Sweden</t>
  </si>
  <si>
    <t>Electricity, rest of Sweden</t>
  </si>
  <si>
    <t>Electricity, industrial processes</t>
  </si>
  <si>
    <t>Source: Skatteverket (Swedish Tax Agency), processed by the Swedish Energy Agency.</t>
  </si>
  <si>
    <t>Energy and environmental taxes (industry, agriculture, forestry, fisheries), from 1 January 2016</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</si>
  <si>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</si>
  <si>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</si>
  <si>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</si>
  <si>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</si>
  <si>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</si>
  <si>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</si>
  <si>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</si>
  <si>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</si>
  <si>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test</t>
  </si>
  <si>
    <t>India</t>
  </si>
  <si>
    <t>World</t>
  </si>
  <si>
    <t>Source: IEA. Processed by the Swedish Energy Agency.</t>
  </si>
  <si>
    <t>Kärnbränsle</t>
  </si>
  <si>
    <t>4) Priser för förbrukarkategorerna näringsverksamhet och småindustri redovisas inte från och med 2017</t>
  </si>
  <si>
    <t>Energy in Sweden Facts and Figures 2017</t>
  </si>
  <si>
    <t>Energimyndigheten – Energiläget</t>
  </si>
  <si>
    <t>Källa: Energiföretagen Sverige</t>
  </si>
  <si>
    <t xml:space="preserve">Energiläget i siffror är en statistiksamling som ges ut varje år. Rapporten Energiläget som innehåller text och analyser publiceras vartannat år. Den senaste utgåvan är från hösten 2017. Publikationerna finns på Energimyndighetens webbplats: </t>
  </si>
  <si>
    <t xml:space="preserve">Energy in Sweden Facts and Figures is a yearly collection of statistics. Energy in Sweden, with explanations and analyses, was published in the autumn of 2017. Recent versions are available on the Swedish Energy Agency website: </t>
  </si>
  <si>
    <t>Energitillförsel och energianvändning 2016, TWh</t>
  </si>
  <si>
    <t>Energy supply and use in Sweden 2016, TWh</t>
  </si>
  <si>
    <t>Produktion och användning av biogas och rötrester år 2016, ES 2017:07</t>
  </si>
  <si>
    <t>Production and use of biogas, Produktion och användning av biogas och rötrester år 2017, ES2017:07</t>
  </si>
  <si>
    <t>Belgium</t>
  </si>
  <si>
    <t>Gasification facilities</t>
  </si>
  <si>
    <t>Statistics based on the energy balances cover years until 2015.</t>
  </si>
  <si>
    <t>Some of the other statistics, e.g. prices, are often available until 2016.</t>
  </si>
  <si>
    <t>Drivmedel 2016, ER 2017:12</t>
  </si>
  <si>
    <t>Transport fuels, Drivmedel 2016, ER 2017:12</t>
  </si>
  <si>
    <t>https://energimyndigheten.a-w2m.se/Home.mvc?ResourceId=5685</t>
  </si>
  <si>
    <t>https://energimyndigheten.a-w2m.se/Home.mvc?ResourceId=5673</t>
  </si>
  <si>
    <t>Vindkraftsstatistik 2016, ES 2017:02</t>
  </si>
  <si>
    <t>Windpower statistics, Vindkraftsstatistik 2016, ES2017:02</t>
  </si>
  <si>
    <t>http://www.scb.se/hitta-statistik/statistik-efter-amne/priser-och-konsumtion/</t>
  </si>
  <si>
    <t>http://www.scb.se/en/finding-statistics/statistics-by-subject-area/prices-and-consumption/</t>
  </si>
  <si>
    <t>http://www.scb.se/en/Finding-statistics/Statistics-by-subject-area/National-Accounts/National-Accounts/National-Accounts-quarterly-and-annual-estimates/</t>
  </si>
  <si>
    <t>PFAD (palm fatty acid distillate)</t>
  </si>
  <si>
    <t>Slakteriavfall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</si>
</sst>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0\ &quot;kr&quot;;[Red]\-#,##0\ &quot;kr&quot;"/>
    <numFmt numFmtId="43" formatCode="_-* #,##0.00\ _k_r_-;\-* #,##0.00\ _k_r_-;_-* &quot;-&quot;??\ _k_r_-;_-@_-"/>
    <numFmt numFmtId="164" formatCode="0.0"/>
    <numFmt numFmtId="165" formatCode="0.000"/>
    <numFmt numFmtId="166" formatCode="#,##0.0"/>
    <numFmt numFmtId="167" formatCode="#,##0;[Red]&quot;-&quot;#,##0"/>
    <numFmt numFmtId="168" formatCode="yyyy;@"/>
    <numFmt numFmtId="169" formatCode="0.0%"/>
    <numFmt numFmtId="170" formatCode="[$-41D]mmm/yy;@"/>
    <numFmt numFmtId="171" formatCode="[$-41D]mmmm\ /yy;@"/>
    <numFmt numFmtId="172" formatCode="yyyy/mm;@"/>
  </numFmts>
  <fonts count="147">
    <font>
      <sz val="11"/>
      <color theme="1"/>
      <name val="Calibri"/>
      <family val="2"/>
      <scheme val="minor"/>
    </font>
    <font>
      <sz val="10"/>
      <name val="Arial"/>
      <family val="2"/>
    </font>
    <font>
      <b/>
      <sz val="12"/>
      <name val="Calibri"/>
      <family val="2"/>
    </font>
    <font>
      <sz val="10"/>
      <color indexed="8"/>
      <name val="Calibri"/>
      <family val="2"/>
    </font>
    <font>
      <b/>
      <sz val="10"/>
      <name val="Calibri"/>
      <family val="2"/>
    </font>
    <font>
      <sz val="10"/>
      <name val="Calibri"/>
      <family val="2"/>
    </font>
    <font>
      <vertAlign val="superscrip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0"/>
      <name val="Arial"/>
      <family val="2"/>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i/>
      <sz val="9"/>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b/>
      <sz val="11"/>
      <color theme="1"/>
      <name val="Cambria"/>
      <family val="2"/>
      <scheme val="major"/>
    </font>
    <font>
      <sz val="11"/>
      <name val="Cambria"/>
      <family val="2"/>
      <scheme val="major"/>
    </font>
    <font>
      <b/>
      <sz val="11"/>
      <name val="Cambria"/>
      <family val="2"/>
      <scheme val="major"/>
    </font>
    <font>
      <b/>
      <sz val="11"/>
      <color theme="1"/>
      <name val="Cambria"/>
      <family val="1"/>
      <scheme val="major"/>
    </font>
    <font>
      <sz val="11"/>
      <color rgb="FF000000"/>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FFE697"/>
        <bgColor indexed="64"/>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right/>
      <top/>
      <bottom style="thin">
        <color theme="1"/>
      </bottom>
      <diagonal/>
    </border>
    <border>
      <left/>
      <right/>
      <top style="thin">
        <color theme="1"/>
      </top>
      <bottom style="thin">
        <color theme="1"/>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0">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8" fillId="25"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8" fillId="20" borderId="0" applyNumberFormat="0" applyBorder="0" applyAlignment="0" applyProtection="0"/>
    <xf numFmtId="0" fontId="8" fillId="27" borderId="0" applyNumberFormat="0" applyBorder="0" applyAlignment="0" applyProtection="0"/>
    <xf numFmtId="0" fontId="10" fillId="27"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2" fillId="29" borderId="2" applyNumberFormat="0" applyAlignment="0" applyProtection="0"/>
    <xf numFmtId="0" fontId="13" fillId="3" borderId="0" applyNumberFormat="0" applyBorder="0" applyAlignment="0" applyProtection="0"/>
    <xf numFmtId="0" fontId="14" fillId="29" borderId="3" applyNumberFormat="0" applyAlignment="0" applyProtection="0"/>
    <xf numFmtId="4" fontId="51" fillId="0" borderId="4" applyFill="0" applyBorder="0" applyProtection="0">
      <alignment horizontal="right" vertical="center"/>
    </xf>
    <xf numFmtId="0" fontId="52" fillId="0" borderId="0"/>
    <xf numFmtId="0" fontId="53" fillId="0" borderId="0">
      <alignment horizontal="right"/>
    </xf>
    <xf numFmtId="0" fontId="54" fillId="0" borderId="0"/>
    <xf numFmtId="0" fontId="55" fillId="0" borderId="0"/>
    <xf numFmtId="0" fontId="56" fillId="0" borderId="0"/>
    <xf numFmtId="0" fontId="57" fillId="0" borderId="5" applyNumberFormat="0" applyAlignment="0"/>
    <xf numFmtId="0" fontId="58" fillId="0" borderId="0" applyAlignment="0">
      <alignment horizontal="left"/>
    </xf>
    <xf numFmtId="0" fontId="58" fillId="0" borderId="0">
      <alignment horizontal="right"/>
    </xf>
    <xf numFmtId="169" fontId="58" fillId="0" borderId="0">
      <alignment horizontal="right"/>
    </xf>
    <xf numFmtId="164" fontId="59" fillId="0" borderId="0">
      <alignment horizontal="right"/>
    </xf>
    <xf numFmtId="0" fontId="60" fillId="0" borderId="0"/>
    <xf numFmtId="0" fontId="15" fillId="29" borderId="3" applyNumberFormat="0" applyAlignment="0" applyProtection="0"/>
    <xf numFmtId="0" fontId="16" fillId="30" borderId="6" applyNumberFormat="0" applyAlignment="0" applyProtection="0"/>
    <xf numFmtId="0" fontId="17" fillId="7" borderId="3" applyNumberFormat="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8"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4"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67" fillId="0" borderId="0" applyNumberFormat="0" applyFill="0" applyBorder="0" applyAlignment="0" applyProtection="0"/>
    <xf numFmtId="0" fontId="61" fillId="0" borderId="0" applyNumberFormat="0" applyFill="0" applyBorder="0" applyAlignment="0" applyProtection="0">
      <alignment vertical="top"/>
      <protection locked="0"/>
    </xf>
    <xf numFmtId="0" fontId="26" fillId="7" borderId="3" applyNumberFormat="0" applyAlignment="0" applyProtection="0"/>
    <xf numFmtId="0" fontId="27" fillId="0" borderId="11" applyNumberFormat="0" applyFill="0" applyAlignment="0" applyProtection="0"/>
    <xf numFmtId="0" fontId="7" fillId="0" borderId="0"/>
    <xf numFmtId="0" fontId="1" fillId="0" borderId="0"/>
    <xf numFmtId="0" fontId="7" fillId="0" borderId="0"/>
    <xf numFmtId="0" fontId="7" fillId="0" borderId="0"/>
    <xf numFmtId="0" fontId="7" fillId="0" borderId="0"/>
    <xf numFmtId="0" fontId="47" fillId="0" borderId="0"/>
    <xf numFmtId="0" fontId="7" fillId="0" borderId="0"/>
    <xf numFmtId="0" fontId="44" fillId="0" borderId="0"/>
    <xf numFmtId="0" fontId="43" fillId="0" borderId="0"/>
    <xf numFmtId="0" fontId="68" fillId="0" borderId="0"/>
    <xf numFmtId="0" fontId="68" fillId="0" borderId="0"/>
    <xf numFmtId="0" fontId="1" fillId="0" borderId="0"/>
    <xf numFmtId="0" fontId="48" fillId="0" borderId="0"/>
    <xf numFmtId="0" fontId="7" fillId="0" borderId="0"/>
    <xf numFmtId="0" fontId="1" fillId="0" borderId="0"/>
    <xf numFmtId="0" fontId="62" fillId="0" borderId="12" applyNumberFormat="0" applyFill="0" applyAlignment="0" applyProtection="0"/>
    <xf numFmtId="0" fontId="43" fillId="0" borderId="0"/>
    <xf numFmtId="0" fontId="43"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8" fillId="29" borderId="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9" fillId="3" borderId="0" applyNumberFormat="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31" fillId="0" borderId="7" applyNumberFormat="0" applyFill="0" applyAlignment="0" applyProtection="0"/>
    <xf numFmtId="167"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30" borderId="6" applyNumberFormat="0" applyAlignment="0" applyProtection="0"/>
    <xf numFmtId="4" fontId="62" fillId="0" borderId="0"/>
    <xf numFmtId="0" fontId="96" fillId="0" borderId="0"/>
    <xf numFmtId="0" fontId="1" fillId="0" borderId="0"/>
    <xf numFmtId="0" fontId="7" fillId="0" borderId="0"/>
    <xf numFmtId="0" fontId="1" fillId="0" borderId="0"/>
    <xf numFmtId="0" fontId="137" fillId="0" borderId="0"/>
    <xf numFmtId="0" fontId="138" fillId="43" borderId="0" applyNumberFormat="0" applyBorder="0" applyAlignment="0" applyProtection="0"/>
    <xf numFmtId="0" fontId="138" fillId="47" borderId="0" applyNumberFormat="0" applyBorder="0" applyAlignment="0" applyProtection="0"/>
    <xf numFmtId="0" fontId="138" fillId="51" borderId="0" applyNumberFormat="0" applyBorder="0" applyAlignment="0" applyProtection="0"/>
    <xf numFmtId="0" fontId="138" fillId="55" borderId="0" applyNumberFormat="0" applyBorder="0" applyAlignment="0" applyProtection="0"/>
    <xf numFmtId="0" fontId="138" fillId="59" borderId="0" applyNumberFormat="0" applyBorder="0" applyAlignment="0" applyProtection="0"/>
    <xf numFmtId="0" fontId="138" fillId="63" borderId="0" applyNumberFormat="0" applyBorder="0" applyAlignment="0" applyProtection="0"/>
    <xf numFmtId="0" fontId="138" fillId="44" borderId="0" applyNumberFormat="0" applyBorder="0" applyAlignment="0" applyProtection="0"/>
    <xf numFmtId="0" fontId="138" fillId="48" borderId="0" applyNumberFormat="0" applyBorder="0" applyAlignment="0" applyProtection="0"/>
    <xf numFmtId="0" fontId="138" fillId="52" borderId="0" applyNumberFormat="0" applyBorder="0" applyAlignment="0" applyProtection="0"/>
    <xf numFmtId="0" fontId="138" fillId="56" borderId="0" applyNumberFormat="0" applyBorder="0" applyAlignment="0" applyProtection="0"/>
    <xf numFmtId="0" fontId="138" fillId="60" borderId="0" applyNumberFormat="0" applyBorder="0" applyAlignment="0" applyProtection="0"/>
    <xf numFmtId="0" fontId="138" fillId="64"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7" borderId="0" applyNumberFormat="0" applyBorder="0" applyAlignment="0" applyProtection="0"/>
    <xf numFmtId="0" fontId="139" fillId="61" borderId="0" applyNumberFormat="0" applyBorder="0" applyAlignment="0" applyProtection="0"/>
    <xf numFmtId="0" fontId="139" fillId="65"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8" borderId="0" applyNumberFormat="0" applyBorder="0" applyAlignment="0" applyProtection="0"/>
    <xf numFmtId="0" fontId="139" fillId="62" borderId="0" applyNumberFormat="0" applyBorder="0" applyAlignment="0" applyProtection="0"/>
    <xf numFmtId="0" fontId="7" fillId="0" borderId="0"/>
    <xf numFmtId="0" fontId="1" fillId="0" borderId="0"/>
    <xf numFmtId="9"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cellStyleXfs>
  <cellXfs count="1083">
    <xf numFmtId="0" fontId="0" fillId="0" borderId="0" xfId="0"/>
    <xf numFmtId="0" fontId="71" fillId="35" borderId="0" xfId="0" applyFont="1" applyFill="1"/>
    <xf numFmtId="0" fontId="74" fillId="35" borderId="0" xfId="126" applyFont="1" applyFill="1"/>
    <xf numFmtId="164" fontId="72" fillId="35" borderId="0" xfId="126" applyNumberFormat="1" applyFont="1" applyFill="1"/>
    <xf numFmtId="0" fontId="73" fillId="35" borderId="0" xfId="102" applyFont="1" applyFill="1" applyBorder="1"/>
    <xf numFmtId="0" fontId="72" fillId="35" borderId="0" xfId="126" applyFont="1" applyFill="1"/>
    <xf numFmtId="0" fontId="74" fillId="35" borderId="0" xfId="126" applyFont="1" applyFill="1" applyBorder="1"/>
    <xf numFmtId="164" fontId="72" fillId="35" borderId="0" xfId="126" applyNumberFormat="1" applyFont="1" applyFill="1" applyBorder="1"/>
    <xf numFmtId="0" fontId="72" fillId="35" borderId="0" xfId="126" applyNumberFormat="1" applyFont="1" applyFill="1" applyBorder="1" applyAlignment="1"/>
    <xf numFmtId="164" fontId="72" fillId="35" borderId="0" xfId="126" applyNumberFormat="1" applyFont="1" applyFill="1" applyBorder="1" applyAlignment="1">
      <alignment horizontal="right"/>
    </xf>
    <xf numFmtId="0" fontId="73" fillId="35" borderId="0" xfId="126" applyNumberFormat="1" applyFont="1" applyFill="1" applyBorder="1" applyAlignment="1"/>
    <xf numFmtId="0" fontId="73" fillId="35" borderId="0" xfId="102" applyFont="1" applyFill="1"/>
    <xf numFmtId="0" fontId="72" fillId="35" borderId="0" xfId="126" applyFont="1" applyFill="1" applyBorder="1"/>
    <xf numFmtId="164" fontId="73" fillId="35" borderId="0" xfId="126" applyNumberFormat="1" applyFont="1" applyFill="1" applyBorder="1"/>
    <xf numFmtId="0" fontId="72" fillId="35" borderId="13" xfId="126" applyFont="1" applyFill="1" applyBorder="1"/>
    <xf numFmtId="164" fontId="72" fillId="35" borderId="13" xfId="126" applyNumberFormat="1" applyFont="1" applyFill="1" applyBorder="1" applyAlignment="1">
      <alignment horizontal="right"/>
    </xf>
    <xf numFmtId="0" fontId="72" fillId="35" borderId="14" xfId="126" applyFont="1" applyFill="1" applyBorder="1"/>
    <xf numFmtId="1" fontId="72" fillId="35" borderId="14" xfId="126" applyNumberFormat="1" applyFont="1" applyFill="1" applyBorder="1"/>
    <xf numFmtId="164" fontId="73" fillId="35" borderId="0" xfId="126" applyNumberFormat="1" applyFont="1" applyFill="1"/>
    <xf numFmtId="2" fontId="72" fillId="35" borderId="0" xfId="126" applyNumberFormat="1" applyFont="1" applyFill="1"/>
    <xf numFmtId="0" fontId="73" fillId="35" borderId="13" xfId="126" applyNumberFormat="1" applyFont="1" applyFill="1" applyBorder="1" applyAlignment="1"/>
    <xf numFmtId="1" fontId="72" fillId="35" borderId="0" xfId="120" applyNumberFormat="1" applyFont="1" applyFill="1"/>
    <xf numFmtId="1" fontId="72" fillId="35" borderId="14" xfId="120" applyNumberFormat="1" applyFont="1" applyFill="1" applyBorder="1"/>
    <xf numFmtId="0" fontId="72" fillId="35" borderId="15" xfId="126" applyFont="1" applyFill="1" applyBorder="1"/>
    <xf numFmtId="0" fontId="72" fillId="35" borderId="0" xfId="126" applyFont="1" applyFill="1" applyBorder="1" applyAlignment="1"/>
    <xf numFmtId="0" fontId="76" fillId="35" borderId="0" xfId="126" applyFont="1" applyFill="1" applyAlignment="1">
      <alignment horizontal="left"/>
    </xf>
    <xf numFmtId="0" fontId="73" fillId="35" borderId="0" xfId="126" applyFont="1" applyFill="1" applyAlignment="1">
      <alignment horizontal="left"/>
    </xf>
    <xf numFmtId="0" fontId="72" fillId="35" borderId="0" xfId="102" applyFont="1" applyFill="1"/>
    <xf numFmtId="0" fontId="73" fillId="35" borderId="0" xfId="120" applyFont="1" applyFill="1"/>
    <xf numFmtId="0" fontId="75" fillId="35" borderId="0" xfId="126" applyFont="1" applyFill="1" applyAlignment="1">
      <alignment horizontal="left"/>
    </xf>
    <xf numFmtId="164" fontId="73" fillId="35" borderId="0" xfId="120" applyNumberFormat="1" applyFont="1" applyFill="1"/>
    <xf numFmtId="0" fontId="74" fillId="34" borderId="0" xfId="123" applyFont="1" applyFill="1" applyAlignment="1">
      <alignment horizontal="left"/>
    </xf>
    <xf numFmtId="0" fontId="73" fillId="35" borderId="0" xfId="102" applyFont="1" applyFill="1" applyBorder="1" applyAlignment="1">
      <alignment horizontal="right"/>
    </xf>
    <xf numFmtId="0" fontId="77" fillId="35" borderId="13" xfId="123" applyFont="1" applyFill="1" applyBorder="1" applyAlignment="1">
      <alignment horizontal="left" wrapText="1"/>
    </xf>
    <xf numFmtId="0" fontId="71" fillId="35" borderId="13" xfId="123" applyFont="1" applyFill="1" applyBorder="1" applyAlignment="1">
      <alignment horizontal="right" wrapText="1"/>
    </xf>
    <xf numFmtId="0" fontId="77" fillId="35" borderId="13" xfId="123" applyFont="1" applyFill="1" applyBorder="1" applyAlignment="1">
      <alignment horizontal="right" wrapText="1"/>
    </xf>
    <xf numFmtId="0" fontId="77"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3" fontId="77" fillId="35" borderId="0" xfId="123" applyNumberFormat="1" applyFont="1" applyFill="1" applyBorder="1" applyAlignment="1">
      <alignment horizontal="right"/>
    </xf>
    <xf numFmtId="0" fontId="72" fillId="35" borderId="0" xfId="123" applyNumberFormat="1" applyFont="1" applyFill="1" applyBorder="1" applyAlignment="1">
      <alignment horizontal="left"/>
    </xf>
    <xf numFmtId="3" fontId="73" fillId="35" borderId="0" xfId="123" applyNumberFormat="1" applyFont="1" applyFill="1" applyBorder="1" applyAlignment="1">
      <alignment horizontal="right"/>
    </xf>
    <xf numFmtId="0" fontId="77" fillId="36" borderId="0" xfId="123" applyNumberFormat="1" applyFont="1" applyFill="1" applyBorder="1" applyAlignment="1">
      <alignment horizontal="left"/>
    </xf>
    <xf numFmtId="0" fontId="73" fillId="35" borderId="0" xfId="123" applyFont="1" applyFill="1" applyBorder="1" applyAlignment="1">
      <alignment horizontal="left"/>
    </xf>
    <xf numFmtId="2" fontId="73" fillId="35" borderId="0" xfId="123" applyNumberFormat="1" applyFont="1" applyFill="1" applyBorder="1" applyAlignment="1">
      <alignment horizontal="right"/>
    </xf>
    <xf numFmtId="0" fontId="73" fillId="35" borderId="0" xfId="102" applyFont="1" applyFill="1" applyAlignment="1">
      <alignment horizontal="left"/>
    </xf>
    <xf numFmtId="0" fontId="73" fillId="35" borderId="0" xfId="102" applyFont="1" applyFill="1" applyAlignment="1">
      <alignment horizontal="right"/>
    </xf>
    <xf numFmtId="0" fontId="74" fillId="35" borderId="0" xfId="125" applyFont="1" applyFill="1"/>
    <xf numFmtId="0" fontId="72" fillId="35" borderId="13" xfId="125" applyFont="1" applyFill="1" applyBorder="1" applyAlignment="1">
      <alignment horizontal="left" wrapText="1"/>
    </xf>
    <xf numFmtId="0" fontId="73" fillId="35" borderId="13" xfId="125" applyFont="1" applyFill="1" applyBorder="1" applyAlignment="1">
      <alignment horizontal="right" wrapText="1"/>
    </xf>
    <xf numFmtId="0" fontId="72" fillId="35" borderId="13" xfId="125" applyFont="1" applyFill="1" applyBorder="1" applyAlignment="1">
      <alignment horizontal="right" wrapText="1"/>
    </xf>
    <xf numFmtId="0" fontId="72" fillId="35" borderId="0" xfId="125" applyFont="1" applyFill="1" applyBorder="1" applyAlignment="1">
      <alignment horizontal="left"/>
    </xf>
    <xf numFmtId="3" fontId="72" fillId="35" borderId="0" xfId="125" applyNumberFormat="1" applyFont="1" applyFill="1" applyBorder="1" applyAlignment="1">
      <alignment horizontal="right"/>
    </xf>
    <xf numFmtId="0" fontId="73" fillId="35" borderId="0" xfId="125" applyFont="1" applyFill="1" applyBorder="1" applyAlignment="1">
      <alignment horizontal="right"/>
    </xf>
    <xf numFmtId="1" fontId="73" fillId="35" borderId="0" xfId="125" applyNumberFormat="1" applyFont="1" applyFill="1" applyBorder="1" applyAlignment="1">
      <alignment horizontal="right"/>
    </xf>
    <xf numFmtId="164" fontId="73" fillId="35" borderId="0" xfId="125" applyNumberFormat="1" applyFont="1" applyFill="1" applyBorder="1" applyAlignment="1">
      <alignment horizontal="right"/>
    </xf>
    <xf numFmtId="0" fontId="72" fillId="35" borderId="0" xfId="125" applyFont="1" applyFill="1" applyBorder="1" applyAlignment="1">
      <alignment horizontal="right"/>
    </xf>
    <xf numFmtId="0" fontId="73" fillId="35" borderId="0" xfId="125" applyFont="1" applyFill="1"/>
    <xf numFmtId="0" fontId="73" fillId="35" borderId="13" xfId="102" applyFont="1" applyFill="1" applyBorder="1" applyAlignment="1">
      <alignment horizontal="right" wrapText="1"/>
    </xf>
    <xf numFmtId="0" fontId="72" fillId="35" borderId="0" xfId="102" applyFont="1" applyFill="1" applyBorder="1" applyAlignment="1">
      <alignment horizontal="left"/>
    </xf>
    <xf numFmtId="0" fontId="73" fillId="35" borderId="16" xfId="121" applyFont="1" applyFill="1" applyBorder="1"/>
    <xf numFmtId="0" fontId="73" fillId="35" borderId="0" xfId="101" applyFont="1" applyFill="1"/>
    <xf numFmtId="0" fontId="7" fillId="35" borderId="0" xfId="101" applyFill="1"/>
    <xf numFmtId="0" fontId="78" fillId="35" borderId="0" xfId="124" applyFont="1" applyFill="1" applyBorder="1"/>
    <xf numFmtId="0" fontId="78" fillId="35" borderId="0" xfId="124" applyFont="1" applyFill="1"/>
    <xf numFmtId="0" fontId="7" fillId="35" borderId="0" xfId="101" applyFill="1" applyAlignment="1">
      <alignment wrapText="1"/>
    </xf>
    <xf numFmtId="0" fontId="72" fillId="35" borderId="13" xfId="124" applyFont="1" applyFill="1" applyBorder="1"/>
    <xf numFmtId="0" fontId="72" fillId="35" borderId="13" xfId="124" applyFont="1" applyFill="1" applyBorder="1" applyAlignment="1">
      <alignment horizontal="right"/>
    </xf>
    <xf numFmtId="0" fontId="72" fillId="35" borderId="0" xfId="124" applyFont="1" applyFill="1" applyBorder="1" applyAlignment="1">
      <alignment horizontal="left"/>
    </xf>
    <xf numFmtId="164" fontId="73" fillId="35" borderId="0" xfId="124" applyNumberFormat="1" applyFont="1" applyFill="1" applyBorder="1" applyAlignment="1">
      <alignment horizontal="right"/>
    </xf>
    <xf numFmtId="164" fontId="72" fillId="35" borderId="0" xfId="124" applyNumberFormat="1" applyFont="1" applyFill="1" applyBorder="1" applyAlignment="1">
      <alignment horizontal="right"/>
    </xf>
    <xf numFmtId="0" fontId="73" fillId="35" borderId="0" xfId="101" applyFont="1" applyFill="1" applyBorder="1"/>
    <xf numFmtId="0" fontId="74" fillId="35" borderId="0" xfId="127" applyFont="1" applyFill="1" applyAlignment="1">
      <alignment wrapText="1"/>
    </xf>
    <xf numFmtId="0" fontId="72" fillId="35" borderId="13" xfId="127" applyFont="1" applyFill="1" applyBorder="1" applyAlignment="1">
      <alignment horizontal="left"/>
    </xf>
    <xf numFmtId="0" fontId="73" fillId="35" borderId="13" xfId="127" applyFont="1" applyFill="1" applyBorder="1" applyAlignment="1">
      <alignment horizontal="right" wrapText="1"/>
    </xf>
    <xf numFmtId="0" fontId="72" fillId="35" borderId="13" xfId="127" applyFont="1" applyFill="1" applyBorder="1" applyAlignment="1">
      <alignment horizontal="right" wrapText="1"/>
    </xf>
    <xf numFmtId="0" fontId="73" fillId="35" borderId="0" xfId="101" applyFont="1" applyFill="1" applyBorder="1" applyAlignment="1">
      <alignment horizontal="right"/>
    </xf>
    <xf numFmtId="0" fontId="72" fillId="35" borderId="0" xfId="127" applyFont="1" applyFill="1" applyBorder="1" applyAlignment="1">
      <alignment horizontal="left"/>
    </xf>
    <xf numFmtId="0" fontId="7" fillId="35" borderId="0" xfId="101" applyFont="1" applyFill="1"/>
    <xf numFmtId="0" fontId="72" fillId="35" borderId="13" xfId="128" applyFont="1" applyFill="1" applyBorder="1"/>
    <xf numFmtId="0" fontId="73" fillId="35" borderId="13" xfId="128" applyFont="1" applyFill="1" applyBorder="1" applyAlignment="1">
      <alignment horizontal="right" wrapText="1"/>
    </xf>
    <xf numFmtId="0" fontId="72" fillId="35" borderId="13" xfId="128" applyFont="1" applyFill="1" applyBorder="1" applyAlignment="1">
      <alignment horizontal="right" wrapText="1"/>
    </xf>
    <xf numFmtId="0" fontId="72" fillId="35" borderId="0" xfId="128" applyFont="1" applyFill="1" applyBorder="1" applyAlignment="1">
      <alignment horizontal="left"/>
    </xf>
    <xf numFmtId="164" fontId="73" fillId="35" borderId="0" xfId="128" applyNumberFormat="1" applyFont="1" applyFill="1" applyBorder="1"/>
    <xf numFmtId="164" fontId="73" fillId="35" borderId="0" xfId="128" applyNumberFormat="1" applyFont="1" applyFill="1" applyBorder="1" applyAlignment="1">
      <alignment horizontal="right"/>
    </xf>
    <xf numFmtId="164" fontId="72" fillId="35" borderId="0" xfId="128" applyNumberFormat="1" applyFont="1" applyFill="1" applyBorder="1"/>
    <xf numFmtId="0" fontId="72" fillId="35" borderId="17" xfId="128" applyFont="1" applyFill="1" applyBorder="1" applyAlignment="1">
      <alignment horizontal="left"/>
    </xf>
    <xf numFmtId="0" fontId="73" fillId="35" borderId="0" xfId="101" applyFont="1" applyFill="1" applyBorder="1" applyAlignment="1"/>
    <xf numFmtId="0" fontId="72" fillId="35" borderId="0" xfId="101" applyFont="1" applyFill="1" applyBorder="1" applyAlignment="1"/>
    <xf numFmtId="0" fontId="72" fillId="35" borderId="0" xfId="101" applyFont="1" applyFill="1" applyBorder="1"/>
    <xf numFmtId="0" fontId="74" fillId="34" borderId="0" xfId="128" applyFont="1" applyFill="1"/>
    <xf numFmtId="0" fontId="74" fillId="34" borderId="0" xfId="128" applyFont="1" applyFill="1" applyAlignment="1">
      <alignment horizontal="left"/>
    </xf>
    <xf numFmtId="0" fontId="72" fillId="35" borderId="13" xfId="128" applyFont="1" applyFill="1" applyBorder="1" applyAlignment="1">
      <alignment horizontal="left"/>
    </xf>
    <xf numFmtId="0" fontId="73" fillId="35" borderId="0" xfId="101" applyFont="1" applyFill="1" applyBorder="1" applyAlignment="1">
      <alignment horizontal="left"/>
    </xf>
    <xf numFmtId="0" fontId="74" fillId="35" borderId="0" xfId="128" applyFont="1" applyFill="1" applyAlignment="1">
      <alignment wrapText="1"/>
    </xf>
    <xf numFmtId="0" fontId="7" fillId="35" borderId="0" xfId="101" applyFont="1" applyFill="1" applyAlignment="1">
      <alignment horizontal="right" wrapText="1"/>
    </xf>
    <xf numFmtId="0" fontId="73" fillId="35" borderId="0" xfId="101" applyFont="1" applyFill="1" applyAlignment="1">
      <alignment horizontal="left"/>
    </xf>
    <xf numFmtId="0" fontId="7" fillId="35" borderId="0" xfId="101" applyFill="1" applyAlignment="1">
      <alignment horizontal="left"/>
    </xf>
    <xf numFmtId="0" fontId="7" fillId="35" borderId="0" xfId="101" applyFill="1" applyAlignment="1">
      <alignment horizontal="right" wrapText="1"/>
    </xf>
    <xf numFmtId="0" fontId="71" fillId="35" borderId="0" xfId="0" applyFont="1" applyFill="1" applyBorder="1"/>
    <xf numFmtId="0" fontId="72" fillId="35" borderId="0" xfId="129" applyFont="1" applyFill="1" applyBorder="1" applyAlignment="1">
      <alignment horizontal="left"/>
    </xf>
    <xf numFmtId="164" fontId="73" fillId="35" borderId="0" xfId="129" applyNumberFormat="1" applyFont="1" applyFill="1" applyBorder="1" applyAlignment="1">
      <alignment horizontal="right"/>
    </xf>
    <xf numFmtId="0" fontId="72" fillId="35" borderId="17" xfId="129" applyFont="1" applyFill="1" applyBorder="1" applyAlignment="1">
      <alignment horizontal="left"/>
    </xf>
    <xf numFmtId="164" fontId="73" fillId="35" borderId="17" xfId="129" applyNumberFormat="1" applyFont="1" applyFill="1" applyBorder="1" applyAlignment="1">
      <alignment horizontal="right"/>
    </xf>
    <xf numFmtId="0" fontId="73" fillId="34" borderId="0" xfId="129" applyFont="1" applyFill="1"/>
    <xf numFmtId="0" fontId="71" fillId="35" borderId="0" xfId="0" applyFont="1" applyFill="1" applyBorder="1" applyAlignment="1">
      <alignment horizontal="right"/>
    </xf>
    <xf numFmtId="0" fontId="71" fillId="35" borderId="0" xfId="0" applyFont="1" applyFill="1" applyBorder="1" applyAlignment="1">
      <alignment horizontal="left"/>
    </xf>
    <xf numFmtId="0" fontId="74" fillId="34" borderId="0" xfId="0" applyFont="1" applyFill="1"/>
    <xf numFmtId="0" fontId="73" fillId="35" borderId="0" xfId="0" applyFont="1" applyFill="1" applyBorder="1"/>
    <xf numFmtId="0" fontId="72" fillId="35" borderId="13" xfId="0" applyFont="1" applyFill="1" applyBorder="1" applyAlignment="1">
      <alignment horizontal="left"/>
    </xf>
    <xf numFmtId="164" fontId="73" fillId="35" borderId="17" xfId="0" applyNumberFormat="1" applyFont="1" applyFill="1" applyBorder="1" applyAlignment="1">
      <alignment horizontal="right"/>
    </xf>
    <xf numFmtId="0" fontId="41" fillId="35" borderId="0" xfId="101" applyFont="1" applyFill="1" applyBorder="1"/>
    <xf numFmtId="164" fontId="42" fillId="35" borderId="13" xfId="130" applyNumberFormat="1" applyFont="1" applyFill="1" applyBorder="1" applyAlignment="1">
      <alignment horizontal="left"/>
    </xf>
    <xf numFmtId="1" fontId="42" fillId="35" borderId="0" xfId="130" applyNumberFormat="1" applyFont="1" applyFill="1" applyBorder="1" applyAlignment="1">
      <alignment horizontal="left"/>
    </xf>
    <xf numFmtId="164" fontId="41" fillId="35" borderId="0" xfId="130" applyNumberFormat="1" applyFont="1" applyFill="1" applyBorder="1" applyAlignment="1">
      <alignment horizontal="right"/>
    </xf>
    <xf numFmtId="164" fontId="42" fillId="35" borderId="0" xfId="130" applyNumberFormat="1" applyFont="1" applyFill="1" applyBorder="1" applyAlignment="1">
      <alignment horizontal="right"/>
    </xf>
    <xf numFmtId="0" fontId="41" fillId="35" borderId="0" xfId="101" applyFont="1" applyFill="1" applyBorder="1" applyAlignment="1">
      <alignment horizontal="right"/>
    </xf>
    <xf numFmtId="164" fontId="41" fillId="35" borderId="0" xfId="101" applyNumberFormat="1" applyFont="1" applyFill="1" applyBorder="1" applyAlignment="1">
      <alignment horizontal="right"/>
    </xf>
    <xf numFmtId="0" fontId="73" fillId="34" borderId="0" xfId="130" applyFont="1" applyFill="1"/>
    <xf numFmtId="0" fontId="41" fillId="35" borderId="0" xfId="101" applyFont="1" applyFill="1" applyBorder="1" applyAlignment="1">
      <alignment horizontal="left"/>
    </xf>
    <xf numFmtId="0" fontId="72" fillId="35" borderId="13" xfId="130" applyFont="1" applyFill="1" applyBorder="1" applyAlignment="1">
      <alignment horizontal="left"/>
    </xf>
    <xf numFmtId="0" fontId="72" fillId="35" borderId="13" xfId="130" applyFont="1" applyFill="1" applyBorder="1" applyAlignment="1">
      <alignment horizontal="right" wrapText="1"/>
    </xf>
    <xf numFmtId="0" fontId="72" fillId="35" borderId="0" xfId="130" applyFont="1" applyFill="1" applyBorder="1" applyAlignment="1">
      <alignment horizontal="left"/>
    </xf>
    <xf numFmtId="164" fontId="73" fillId="35" borderId="0" xfId="130" applyNumberFormat="1" applyFont="1" applyFill="1" applyBorder="1" applyAlignment="1">
      <alignment horizontal="right"/>
    </xf>
    <xf numFmtId="164" fontId="72" fillId="35" borderId="0" xfId="130" applyNumberFormat="1" applyFont="1" applyFill="1" applyBorder="1" applyAlignment="1">
      <alignment horizontal="right"/>
    </xf>
    <xf numFmtId="0" fontId="72" fillId="35" borderId="0" xfId="101" applyFont="1" applyFill="1" applyBorder="1" applyAlignment="1">
      <alignment horizontal="right"/>
    </xf>
    <xf numFmtId="3" fontId="73" fillId="35" borderId="0" xfId="130" applyNumberFormat="1" applyFont="1" applyFill="1" applyBorder="1" applyAlignment="1">
      <alignment horizontal="right"/>
    </xf>
    <xf numFmtId="3" fontId="72" fillId="35" borderId="0" xfId="130" applyNumberFormat="1" applyFont="1" applyFill="1" applyBorder="1" applyAlignment="1">
      <alignment horizontal="right"/>
    </xf>
    <xf numFmtId="0" fontId="72" fillId="35" borderId="17" xfId="130" applyFont="1" applyFill="1" applyBorder="1" applyAlignment="1">
      <alignment horizontal="left"/>
    </xf>
    <xf numFmtId="0" fontId="72" fillId="35" borderId="13" xfId="118" applyFont="1" applyFill="1" applyBorder="1" applyAlignment="1">
      <alignment horizontal="left" wrapText="1"/>
    </xf>
    <xf numFmtId="0" fontId="73" fillId="35" borderId="13" xfId="118" applyFont="1" applyFill="1" applyBorder="1" applyAlignment="1">
      <alignment horizontal="right" wrapText="1"/>
    </xf>
    <xf numFmtId="0" fontId="71" fillId="35" borderId="0" xfId="0" applyFont="1" applyFill="1" applyAlignment="1">
      <alignment wrapText="1"/>
    </xf>
    <xf numFmtId="0" fontId="72" fillId="35" borderId="0" xfId="118" applyFont="1" applyFill="1" applyAlignment="1">
      <alignment horizontal="left"/>
    </xf>
    <xf numFmtId="0" fontId="73" fillId="35" borderId="0" xfId="0" applyFont="1" applyFill="1"/>
    <xf numFmtId="0" fontId="73" fillId="35" borderId="0" xfId="108" applyFont="1" applyFill="1" applyBorder="1"/>
    <xf numFmtId="0" fontId="72" fillId="34" borderId="13" xfId="131" applyFont="1" applyFill="1" applyBorder="1" applyAlignment="1">
      <alignment horizontal="left"/>
    </xf>
    <xf numFmtId="0" fontId="73" fillId="34" borderId="13" xfId="131" applyFont="1" applyFill="1" applyBorder="1" applyAlignment="1">
      <alignment horizontal="right" wrapText="1"/>
    </xf>
    <xf numFmtId="0" fontId="72" fillId="34" borderId="0" xfId="131" applyFont="1" applyFill="1" applyBorder="1" applyAlignment="1">
      <alignment horizontal="left"/>
    </xf>
    <xf numFmtId="0" fontId="73" fillId="34" borderId="0" xfId="131" applyFont="1" applyFill="1" applyBorder="1" applyAlignment="1">
      <alignment horizontal="right"/>
    </xf>
    <xf numFmtId="164" fontId="73" fillId="34" borderId="0" xfId="131" applyNumberFormat="1" applyFont="1" applyFill="1" applyBorder="1" applyAlignment="1">
      <alignment horizontal="right"/>
    </xf>
    <xf numFmtId="164" fontId="72" fillId="34" borderId="0" xfId="131" applyNumberFormat="1" applyFont="1" applyFill="1" applyBorder="1" applyAlignment="1">
      <alignment horizontal="right"/>
    </xf>
    <xf numFmtId="0" fontId="73" fillId="34" borderId="0" xfId="131" applyFont="1" applyFill="1"/>
    <xf numFmtId="0" fontId="73" fillId="35" borderId="0" xfId="108" applyFont="1" applyFill="1" applyBorder="1" applyAlignment="1">
      <alignment horizontal="left"/>
    </xf>
    <xf numFmtId="0" fontId="72" fillId="35" borderId="13" xfId="131" applyFont="1" applyFill="1" applyBorder="1" applyAlignment="1">
      <alignment horizontal="left"/>
    </xf>
    <xf numFmtId="0" fontId="73" fillId="35" borderId="13" xfId="131" applyFont="1" applyFill="1" applyBorder="1" applyAlignment="1">
      <alignment horizontal="right" wrapText="1"/>
    </xf>
    <xf numFmtId="0" fontId="72" fillId="35" borderId="0" xfId="131" applyFont="1" applyFill="1" applyBorder="1" applyAlignment="1">
      <alignment horizontal="left"/>
    </xf>
    <xf numFmtId="164" fontId="73" fillId="35" borderId="0" xfId="131" applyNumberFormat="1" applyFont="1" applyFill="1" applyBorder="1" applyAlignment="1">
      <alignment horizontal="right"/>
    </xf>
    <xf numFmtId="0" fontId="73" fillId="35" borderId="0" xfId="131" applyFont="1" applyFill="1" applyBorder="1" applyAlignment="1">
      <alignment horizontal="right"/>
    </xf>
    <xf numFmtId="0" fontId="72" fillId="35" borderId="0" xfId="131" applyFont="1" applyFill="1" applyBorder="1" applyAlignment="1">
      <alignment horizontal="right"/>
    </xf>
    <xf numFmtId="164" fontId="72" fillId="35" borderId="0" xfId="131" applyNumberFormat="1" applyFont="1" applyFill="1" applyBorder="1" applyAlignment="1">
      <alignment horizontal="right"/>
    </xf>
    <xf numFmtId="164" fontId="79" fillId="35" borderId="0" xfId="131" applyNumberFormat="1" applyFont="1" applyFill="1" applyBorder="1" applyAlignment="1">
      <alignment horizontal="right"/>
    </xf>
    <xf numFmtId="164" fontId="80" fillId="35" borderId="0" xfId="131" applyNumberFormat="1" applyFont="1" applyFill="1" applyBorder="1" applyAlignment="1">
      <alignment horizontal="right"/>
    </xf>
    <xf numFmtId="0" fontId="74" fillId="34" borderId="0" xfId="131" applyFont="1" applyFill="1" applyBorder="1"/>
    <xf numFmtId="0" fontId="73" fillId="35" borderId="0" xfId="108" applyFont="1" applyFill="1" applyBorder="1" applyAlignment="1">
      <alignment horizontal="right"/>
    </xf>
    <xf numFmtId="0" fontId="73" fillId="35" borderId="13" xfId="108" applyFont="1" applyFill="1" applyBorder="1" applyAlignment="1">
      <alignment horizontal="left" wrapText="1"/>
    </xf>
    <xf numFmtId="0" fontId="73" fillId="35" borderId="13" xfId="108" applyFont="1" applyFill="1" applyBorder="1" applyAlignment="1">
      <alignment horizontal="right" wrapText="1"/>
    </xf>
    <xf numFmtId="0" fontId="73" fillId="35" borderId="0" xfId="108" applyFont="1" applyFill="1" applyBorder="1" applyAlignment="1"/>
    <xf numFmtId="0" fontId="73" fillId="35" borderId="13" xfId="131" applyFont="1" applyFill="1" applyBorder="1" applyAlignment="1">
      <alignment horizontal="left" wrapText="1"/>
    </xf>
    <xf numFmtId="0" fontId="73" fillId="35" borderId="13" xfId="108" applyFont="1" applyFill="1" applyBorder="1" applyAlignment="1"/>
    <xf numFmtId="0" fontId="73" fillId="35" borderId="13" xfId="108" applyFont="1" applyFill="1" applyBorder="1" applyAlignment="1">
      <alignment horizontal="right"/>
    </xf>
    <xf numFmtId="168" fontId="72" fillId="35" borderId="0" xfId="131" applyNumberFormat="1" applyFont="1" applyFill="1" applyBorder="1" applyAlignment="1">
      <alignment horizontal="left"/>
    </xf>
    <xf numFmtId="1" fontId="73" fillId="35" borderId="0" xfId="131" applyNumberFormat="1" applyFont="1" applyFill="1" applyBorder="1" applyAlignment="1">
      <alignment horizontal="right"/>
    </xf>
    <xf numFmtId="1" fontId="72" fillId="35" borderId="0" xfId="131" applyNumberFormat="1" applyFont="1" applyFill="1" applyBorder="1" applyAlignment="1">
      <alignment horizontal="right"/>
    </xf>
    <xf numFmtId="168" fontId="72" fillId="35" borderId="17" xfId="131" applyNumberFormat="1" applyFont="1" applyFill="1" applyBorder="1" applyAlignment="1">
      <alignment horizontal="left"/>
    </xf>
    <xf numFmtId="0" fontId="73" fillId="35" borderId="16" xfId="122" applyFont="1" applyFill="1" applyBorder="1"/>
    <xf numFmtId="0" fontId="74" fillId="35" borderId="0" xfId="0" applyFont="1" applyFill="1" applyAlignment="1">
      <alignment horizontal="left" wrapText="1"/>
    </xf>
    <xf numFmtId="0" fontId="72" fillId="35" borderId="13" xfId="102" applyNumberFormat="1" applyFont="1" applyFill="1" applyBorder="1" applyAlignment="1">
      <alignment horizontal="left"/>
    </xf>
    <xf numFmtId="0" fontId="72" fillId="35" borderId="0" xfId="102" applyNumberFormat="1" applyFont="1" applyFill="1" applyAlignment="1">
      <alignment horizontal="left"/>
    </xf>
    <xf numFmtId="164" fontId="73" fillId="35" borderId="0" xfId="0" applyNumberFormat="1" applyFont="1" applyFill="1" applyAlignment="1">
      <alignment horizontal="right"/>
    </xf>
    <xf numFmtId="0" fontId="72" fillId="35" borderId="17" xfId="102" applyNumberFormat="1" applyFont="1" applyFill="1" applyBorder="1" applyAlignment="1">
      <alignment horizontal="left"/>
    </xf>
    <xf numFmtId="0" fontId="73" fillId="35" borderId="0" xfId="0" applyFont="1" applyFill="1" applyAlignment="1">
      <alignment horizontal="left"/>
    </xf>
    <xf numFmtId="0" fontId="73" fillId="35" borderId="0" xfId="0" applyFont="1" applyFill="1" applyAlignment="1">
      <alignment horizontal="right"/>
    </xf>
    <xf numFmtId="0" fontId="72" fillId="35" borderId="13" xfId="132" applyFont="1" applyFill="1" applyBorder="1" applyAlignment="1">
      <alignment horizontal="left"/>
    </xf>
    <xf numFmtId="0" fontId="72" fillId="35" borderId="13" xfId="134" applyFont="1" applyFill="1" applyBorder="1" applyAlignment="1">
      <alignment horizontal="left"/>
    </xf>
    <xf numFmtId="0" fontId="74" fillId="35" borderId="0" xfId="108" applyFont="1" applyFill="1" applyAlignment="1">
      <alignment horizontal="left" wrapText="1"/>
    </xf>
    <xf numFmtId="0" fontId="73" fillId="35" borderId="0" xfId="108" applyFont="1" applyFill="1"/>
    <xf numFmtId="0" fontId="72" fillId="34" borderId="13" xfId="108" applyFont="1" applyFill="1" applyBorder="1" applyAlignment="1">
      <alignment horizontal="left"/>
    </xf>
    <xf numFmtId="0" fontId="73" fillId="34" borderId="13" xfId="108" applyFont="1" applyFill="1" applyBorder="1" applyAlignment="1">
      <alignment horizontal="right" wrapText="1"/>
    </xf>
    <xf numFmtId="0" fontId="72" fillId="34" borderId="0" xfId="108" applyFont="1" applyFill="1" applyBorder="1" applyAlignment="1">
      <alignment horizontal="left"/>
    </xf>
    <xf numFmtId="0" fontId="72" fillId="35" borderId="17" xfId="108" applyFont="1" applyFill="1" applyBorder="1" applyAlignment="1">
      <alignment horizontal="left"/>
    </xf>
    <xf numFmtId="0" fontId="45" fillId="34" borderId="0" xfId="108" applyFont="1" applyFill="1" applyBorder="1" applyAlignment="1">
      <alignment horizontal="left"/>
    </xf>
    <xf numFmtId="0" fontId="46" fillId="34" borderId="0" xfId="108" applyFont="1" applyFill="1" applyBorder="1" applyAlignment="1">
      <alignment horizontal="right"/>
    </xf>
    <xf numFmtId="0" fontId="73" fillId="34" borderId="0" xfId="108" applyFont="1" applyFill="1"/>
    <xf numFmtId="0" fontId="73" fillId="35" borderId="0" xfId="108" applyFont="1" applyFill="1" applyAlignment="1">
      <alignment horizontal="left"/>
    </xf>
    <xf numFmtId="0" fontId="73" fillId="35" borderId="0" xfId="108" applyFont="1" applyFill="1" applyAlignment="1">
      <alignment horizontal="right"/>
    </xf>
    <xf numFmtId="0" fontId="72" fillId="35" borderId="13" xfId="135" applyFont="1" applyFill="1" applyBorder="1" applyAlignment="1">
      <alignment horizontal="left"/>
    </xf>
    <xf numFmtId="0" fontId="73" fillId="35" borderId="13" xfId="135" applyFont="1" applyFill="1" applyBorder="1" applyAlignment="1">
      <alignment horizontal="right" wrapText="1"/>
    </xf>
    <xf numFmtId="0" fontId="72" fillId="35" borderId="0" xfId="135" applyFont="1" applyFill="1" applyBorder="1" applyAlignment="1">
      <alignment horizontal="left"/>
    </xf>
    <xf numFmtId="164" fontId="73" fillId="35" borderId="0" xfId="135" applyNumberFormat="1" applyFont="1" applyFill="1" applyBorder="1" applyAlignment="1">
      <alignment horizontal="right"/>
    </xf>
    <xf numFmtId="0" fontId="72" fillId="35" borderId="17" xfId="135" applyFont="1" applyFill="1" applyBorder="1" applyAlignment="1">
      <alignment horizontal="left"/>
    </xf>
    <xf numFmtId="0" fontId="73" fillId="35" borderId="13" xfId="0" applyFont="1" applyFill="1" applyBorder="1" applyAlignment="1">
      <alignment horizontal="right" wrapText="1"/>
    </xf>
    <xf numFmtId="3" fontId="72" fillId="35" borderId="0" xfId="0" applyNumberFormat="1" applyFont="1" applyFill="1" applyBorder="1" applyAlignment="1">
      <alignment horizontal="right" vertical="center"/>
    </xf>
    <xf numFmtId="0" fontId="73" fillId="35" borderId="0" xfId="0" applyFont="1" applyFill="1" applyBorder="1" applyAlignment="1">
      <alignment horizontal="left"/>
    </xf>
    <xf numFmtId="0" fontId="73" fillId="35" borderId="0" xfId="0" applyFont="1" applyFill="1" applyBorder="1" applyAlignment="1">
      <alignment horizontal="right"/>
    </xf>
    <xf numFmtId="0" fontId="72" fillId="35" borderId="0" xfId="0" applyFont="1" applyFill="1" applyAlignment="1">
      <alignment horizontal="left"/>
    </xf>
    <xf numFmtId="0" fontId="74" fillId="35" borderId="0" xfId="0" applyFont="1" applyFill="1" applyAlignment="1">
      <alignment horizontal="left" vertical="center" wrapText="1"/>
    </xf>
    <xf numFmtId="164" fontId="73" fillId="35" borderId="13" xfId="0" applyNumberFormat="1" applyFont="1" applyFill="1" applyBorder="1" applyAlignment="1">
      <alignment horizontal="right" wrapText="1"/>
    </xf>
    <xf numFmtId="0" fontId="74" fillId="35" borderId="0" xfId="0" applyFont="1" applyFill="1" applyAlignment="1">
      <alignment vertical="center" wrapText="1"/>
    </xf>
    <xf numFmtId="0" fontId="73" fillId="35" borderId="0" xfId="0" applyFont="1" applyFill="1" applyAlignment="1">
      <alignment wrapText="1"/>
    </xf>
    <xf numFmtId="0" fontId="77" fillId="35" borderId="0" xfId="0" applyFont="1" applyFill="1" applyAlignment="1">
      <alignment wrapText="1"/>
    </xf>
    <xf numFmtId="0" fontId="74" fillId="35" borderId="0" xfId="109" applyFont="1" applyFill="1" applyAlignment="1">
      <alignment vertical="center" wrapText="1"/>
    </xf>
    <xf numFmtId="1" fontId="73" fillId="35" borderId="0" xfId="102" applyNumberFormat="1" applyFont="1" applyFill="1" applyBorder="1"/>
    <xf numFmtId="2" fontId="73" fillId="35" borderId="0" xfId="128" applyNumberFormat="1" applyFont="1" applyFill="1" applyBorder="1" applyAlignment="1">
      <alignment horizontal="right" wrapText="1"/>
    </xf>
    <xf numFmtId="3" fontId="73" fillId="35" borderId="0" xfId="118" applyNumberFormat="1" applyFont="1" applyFill="1" applyAlignment="1">
      <alignment horizontal="right"/>
    </xf>
    <xf numFmtId="0" fontId="73" fillId="35" borderId="0" xfId="113" applyFont="1" applyFill="1" applyBorder="1"/>
    <xf numFmtId="0" fontId="72" fillId="35" borderId="13" xfId="133" applyFont="1" applyFill="1" applyBorder="1" applyAlignment="1">
      <alignment horizontal="left"/>
    </xf>
    <xf numFmtId="0" fontId="73" fillId="35" borderId="13" xfId="133" applyFont="1" applyFill="1" applyBorder="1" applyAlignment="1">
      <alignment horizontal="right" wrapText="1"/>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0" fontId="73" fillId="34" borderId="0" xfId="133" applyFont="1" applyFill="1"/>
    <xf numFmtId="0" fontId="73" fillId="34" borderId="0" xfId="133" applyFont="1" applyFill="1" applyBorder="1" applyAlignment="1">
      <alignment vertical="top" wrapText="1"/>
    </xf>
    <xf numFmtId="0" fontId="74" fillId="34" borderId="0" xfId="133" applyFont="1" applyFill="1" applyAlignment="1">
      <alignment horizontal="center" wrapText="1"/>
    </xf>
    <xf numFmtId="0" fontId="73" fillId="35" borderId="0" xfId="113" applyFont="1" applyFill="1"/>
    <xf numFmtId="0" fontId="72" fillId="35" borderId="0" xfId="113" applyFont="1" applyFill="1"/>
    <xf numFmtId="0" fontId="72" fillId="35" borderId="0" xfId="119" applyFont="1" applyFill="1" applyBorder="1" applyAlignment="1">
      <alignment horizontal="left"/>
    </xf>
    <xf numFmtId="166" fontId="73" fillId="35" borderId="0" xfId="133" applyNumberFormat="1" applyFont="1" applyFill="1" applyBorder="1" applyAlignment="1">
      <alignment horizontal="right"/>
    </xf>
    <xf numFmtId="166" fontId="72" fillId="35" borderId="0" xfId="133" applyNumberFormat="1" applyFont="1" applyFill="1" applyBorder="1" applyAlignment="1">
      <alignment horizontal="right"/>
    </xf>
    <xf numFmtId="0" fontId="73" fillId="34" borderId="0" xfId="133" applyFont="1" applyFill="1" applyAlignment="1">
      <alignment vertical="top"/>
    </xf>
    <xf numFmtId="0" fontId="73" fillId="35" borderId="0" xfId="113" applyFont="1" applyFill="1" applyAlignment="1">
      <alignment horizontal="left"/>
    </xf>
    <xf numFmtId="3" fontId="73" fillId="35" borderId="0" xfId="102" applyNumberFormat="1" applyFont="1" applyFill="1" applyBorder="1"/>
    <xf numFmtId="164" fontId="73" fillId="35" borderId="0" xfId="108" applyNumberFormat="1" applyFont="1" applyFill="1" applyBorder="1"/>
    <xf numFmtId="0" fontId="72" fillId="35" borderId="0" xfId="108" applyFont="1" applyFill="1" applyBorder="1" applyAlignment="1">
      <alignment horizontal="left"/>
    </xf>
    <xf numFmtId="2" fontId="46" fillId="34" borderId="0" xfId="130" applyNumberFormat="1" applyFont="1" applyFill="1" applyBorder="1"/>
    <xf numFmtId="2" fontId="50" fillId="34" borderId="0" xfId="130" applyNumberFormat="1" applyFont="1" applyFill="1" applyBorder="1"/>
    <xf numFmtId="2" fontId="45" fillId="34" borderId="0" xfId="130" applyNumberFormat="1" applyFont="1" applyFill="1" applyBorder="1"/>
    <xf numFmtId="165" fontId="71" fillId="35" borderId="0" xfId="0" applyNumberFormat="1" applyFont="1" applyFill="1"/>
    <xf numFmtId="0" fontId="1" fillId="35" borderId="0" xfId="0" applyFont="1" applyFill="1"/>
    <xf numFmtId="165" fontId="1" fillId="35" borderId="0" xfId="0" applyNumberFormat="1" applyFont="1" applyFill="1"/>
    <xf numFmtId="0" fontId="72" fillId="35" borderId="18" xfId="127" applyFont="1" applyFill="1" applyBorder="1" applyAlignment="1">
      <alignment horizontal="left"/>
    </xf>
    <xf numFmtId="0" fontId="82" fillId="35" borderId="0" xfId="0" applyFont="1" applyFill="1" applyBorder="1" applyAlignment="1">
      <alignment vertical="center"/>
    </xf>
    <xf numFmtId="3" fontId="82" fillId="35" borderId="0" xfId="0" applyNumberFormat="1" applyFont="1" applyFill="1" applyBorder="1" applyAlignment="1">
      <alignment horizontal="right" vertical="center"/>
    </xf>
    <xf numFmtId="0" fontId="74" fillId="35" borderId="0" xfId="0" applyFont="1" applyFill="1" applyBorder="1" applyAlignment="1">
      <alignment horizontal="left"/>
    </xf>
    <xf numFmtId="3" fontId="84" fillId="35" borderId="0" xfId="0" applyNumberFormat="1" applyFont="1" applyFill="1" applyBorder="1" applyAlignment="1">
      <alignment horizontal="left" vertical="center"/>
    </xf>
    <xf numFmtId="0" fontId="72" fillId="35" borderId="13" xfId="129" applyFont="1" applyFill="1" applyBorder="1" applyAlignment="1">
      <alignment horizontal="left"/>
    </xf>
    <xf numFmtId="0" fontId="73" fillId="35" borderId="13" xfId="129" applyFont="1" applyFill="1" applyBorder="1" applyAlignment="1">
      <alignment horizontal="right"/>
    </xf>
    <xf numFmtId="0" fontId="73" fillId="35" borderId="13" xfId="129" applyFont="1" applyFill="1" applyBorder="1" applyAlignment="1">
      <alignment horizontal="right" wrapText="1"/>
    </xf>
    <xf numFmtId="0" fontId="72" fillId="35" borderId="13" xfId="129" applyFont="1" applyFill="1" applyBorder="1" applyAlignment="1">
      <alignment horizontal="right"/>
    </xf>
    <xf numFmtId="0" fontId="73" fillId="35" borderId="0" xfId="134" applyFont="1" applyFill="1" applyBorder="1" applyAlignment="1">
      <alignment wrapText="1"/>
    </xf>
    <xf numFmtId="0" fontId="73" fillId="35" borderId="0" xfId="134" applyFont="1" applyFill="1" applyBorder="1" applyAlignment="1"/>
    <xf numFmtId="3" fontId="72" fillId="35" borderId="0" xfId="123" applyNumberFormat="1" applyFont="1" applyFill="1" applyBorder="1" applyAlignment="1">
      <alignment horizontal="right"/>
    </xf>
    <xf numFmtId="0" fontId="73" fillId="36" borderId="0" xfId="123" applyNumberFormat="1" applyFont="1" applyFill="1" applyBorder="1" applyAlignment="1">
      <alignment horizontal="right"/>
    </xf>
    <xf numFmtId="1" fontId="73" fillId="36" borderId="0" xfId="123" applyNumberFormat="1" applyFont="1" applyFill="1" applyBorder="1" applyAlignment="1">
      <alignment horizontal="right"/>
    </xf>
    <xf numFmtId="1" fontId="73" fillId="35" borderId="0" xfId="120" applyNumberFormat="1" applyFont="1" applyFill="1" applyBorder="1" applyAlignment="1"/>
    <xf numFmtId="1" fontId="73" fillId="35" borderId="13" xfId="120" applyNumberFormat="1" applyFont="1" applyFill="1" applyBorder="1" applyAlignment="1"/>
    <xf numFmtId="0" fontId="85" fillId="35" borderId="0" xfId="102" applyFont="1" applyFill="1" applyBorder="1"/>
    <xf numFmtId="164" fontId="73" fillId="35" borderId="0" xfId="101" applyNumberFormat="1" applyFont="1" applyFill="1" applyBorder="1"/>
    <xf numFmtId="164" fontId="73" fillId="35" borderId="17" xfId="128" applyNumberFormat="1" applyFont="1" applyFill="1" applyBorder="1"/>
    <xf numFmtId="164" fontId="41" fillId="35" borderId="0" xfId="101" applyNumberFormat="1" applyFont="1" applyFill="1" applyBorder="1"/>
    <xf numFmtId="0" fontId="72" fillId="35" borderId="0" xfId="101" applyFont="1" applyFill="1" applyBorder="1" applyAlignment="1">
      <alignment horizontal="left"/>
    </xf>
    <xf numFmtId="164" fontId="73" fillId="35" borderId="0" xfId="101" applyNumberFormat="1" applyFont="1" applyFill="1" applyBorder="1" applyAlignment="1">
      <alignment horizontal="right"/>
    </xf>
    <xf numFmtId="164" fontId="72" fillId="35" borderId="0" xfId="101" applyNumberFormat="1" applyFont="1" applyFill="1" applyBorder="1" applyAlignment="1">
      <alignment horizontal="right"/>
    </xf>
    <xf numFmtId="3" fontId="73" fillId="35" borderId="0" xfId="101" applyNumberFormat="1" applyFont="1" applyFill="1" applyBorder="1"/>
    <xf numFmtId="164" fontId="72" fillId="35" borderId="0" xfId="108" applyNumberFormat="1" applyFont="1" applyFill="1" applyBorder="1"/>
    <xf numFmtId="0" fontId="73" fillId="35" borderId="13" xfId="132" applyFont="1" applyFill="1" applyBorder="1" applyAlignment="1">
      <alignment horizontal="right" wrapText="1"/>
    </xf>
    <xf numFmtId="0" fontId="72"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3" fillId="35" borderId="13" xfId="134" applyFont="1" applyFill="1" applyBorder="1" applyAlignment="1">
      <alignment horizontal="right" wrapText="1"/>
    </xf>
    <xf numFmtId="0" fontId="72" fillId="35" borderId="0" xfId="134" applyFont="1" applyFill="1" applyBorder="1" applyAlignment="1">
      <alignment horizontal="left"/>
    </xf>
    <xf numFmtId="166" fontId="73"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9" fillId="0" borderId="0" xfId="0" applyFont="1" applyAlignment="1">
      <alignment vertical="center"/>
    </xf>
    <xf numFmtId="0" fontId="0" fillId="0" borderId="0" xfId="0" applyAlignment="1">
      <alignment vertical="center"/>
    </xf>
    <xf numFmtId="0" fontId="89" fillId="35" borderId="0" xfId="102" applyFont="1" applyFill="1" applyBorder="1" applyAlignment="1">
      <alignment horizontal="left" vertical="top"/>
    </xf>
    <xf numFmtId="0" fontId="88" fillId="0" borderId="0" xfId="0" applyFont="1" applyAlignment="1">
      <alignment vertical="center"/>
    </xf>
    <xf numFmtId="0" fontId="89" fillId="35" borderId="0" xfId="101" applyFont="1" applyFill="1" applyBorder="1"/>
    <xf numFmtId="0" fontId="89" fillId="35" borderId="0" xfId="101" applyFont="1" applyFill="1" applyBorder="1" applyAlignment="1">
      <alignment horizontal="left"/>
    </xf>
    <xf numFmtId="0" fontId="89" fillId="35" borderId="0" xfId="101" applyFont="1" applyFill="1" applyAlignment="1">
      <alignment horizontal="left"/>
    </xf>
    <xf numFmtId="0" fontId="89" fillId="35" borderId="0" xfId="101" applyFont="1" applyFill="1" applyAlignment="1">
      <alignment horizontal="right" wrapText="1"/>
    </xf>
    <xf numFmtId="0" fontId="89" fillId="35" borderId="0" xfId="101" applyFont="1" applyFill="1"/>
    <xf numFmtId="0" fontId="89" fillId="35" borderId="0" xfId="0" applyFont="1" applyFill="1"/>
    <xf numFmtId="0" fontId="89" fillId="35" borderId="0" xfId="108" applyFont="1" applyFill="1" applyBorder="1" applyAlignment="1">
      <alignment horizontal="left"/>
    </xf>
    <xf numFmtId="0" fontId="89" fillId="35" borderId="0" xfId="108" applyFont="1" applyFill="1" applyBorder="1"/>
    <xf numFmtId="0" fontId="89" fillId="35" borderId="0" xfId="108" applyFont="1" applyFill="1" applyBorder="1" applyAlignment="1">
      <alignment horizontal="right"/>
    </xf>
    <xf numFmtId="0" fontId="89" fillId="34" borderId="0" xfId="133" applyFont="1" applyFill="1"/>
    <xf numFmtId="0" fontId="89" fillId="34" borderId="0" xfId="133" applyFont="1" applyFill="1" applyAlignment="1">
      <alignment horizontal="right"/>
    </xf>
    <xf numFmtId="0" fontId="90" fillId="35" borderId="0" xfId="113" applyFont="1" applyFill="1" applyBorder="1"/>
    <xf numFmtId="0" fontId="85" fillId="35" borderId="0" xfId="113" applyFont="1" applyFill="1"/>
    <xf numFmtId="0" fontId="91" fillId="35" borderId="0" xfId="113" applyFont="1" applyFill="1"/>
    <xf numFmtId="0" fontId="89" fillId="35" borderId="0" xfId="108" applyFont="1" applyFill="1" applyAlignment="1">
      <alignment horizontal="right"/>
    </xf>
    <xf numFmtId="0" fontId="89" fillId="35" borderId="0" xfId="108" applyFont="1" applyFill="1"/>
    <xf numFmtId="0" fontId="88" fillId="0" borderId="0" xfId="0" applyFont="1" applyAlignment="1"/>
    <xf numFmtId="0" fontId="64" fillId="0" borderId="0" xfId="115" applyFont="1" applyProtection="1">
      <protection locked="0"/>
    </xf>
    <xf numFmtId="0" fontId="90" fillId="35" borderId="0" xfId="0" applyFont="1" applyFill="1"/>
    <xf numFmtId="0" fontId="89" fillId="35" borderId="0" xfId="0" applyFont="1" applyFill="1" applyAlignment="1">
      <alignment vertical="center"/>
    </xf>
    <xf numFmtId="0" fontId="85" fillId="35" borderId="0" xfId="0" applyFont="1" applyFill="1" applyAlignment="1"/>
    <xf numFmtId="0" fontId="92" fillId="35" borderId="0" xfId="0" applyFont="1" applyFill="1" applyBorder="1"/>
    <xf numFmtId="0" fontId="0" fillId="0" borderId="0" xfId="0" applyFont="1" applyFill="1" applyBorder="1"/>
    <xf numFmtId="164" fontId="65" fillId="34" borderId="0" xfId="0" applyNumberFormat="1" applyFont="1" applyFill="1" applyBorder="1"/>
    <xf numFmtId="164" fontId="93" fillId="35" borderId="0" xfId="0" applyNumberFormat="1" applyFont="1" applyFill="1" applyBorder="1"/>
    <xf numFmtId="164" fontId="46" fillId="34" borderId="0" xfId="0" applyNumberFormat="1" applyFont="1" applyFill="1" applyBorder="1"/>
    <xf numFmtId="164" fontId="66" fillId="34" borderId="0" xfId="0" applyNumberFormat="1" applyFont="1" applyFill="1" applyBorder="1"/>
    <xf numFmtId="164" fontId="45" fillId="34" borderId="0" xfId="0" applyNumberFormat="1" applyFont="1" applyFill="1" applyBorder="1"/>
    <xf numFmtId="164" fontId="94" fillId="34" borderId="0" xfId="0" applyNumberFormat="1" applyFont="1" applyFill="1" applyBorder="1"/>
    <xf numFmtId="2" fontId="41" fillId="35" borderId="0" xfId="101" applyNumberFormat="1" applyFont="1" applyFill="1" applyBorder="1"/>
    <xf numFmtId="0" fontId="66" fillId="34" borderId="0" xfId="131" applyFont="1" applyFill="1" applyBorder="1"/>
    <xf numFmtId="0" fontId="73" fillId="34" borderId="0" xfId="131" applyFont="1" applyFill="1" applyBorder="1"/>
    <xf numFmtId="0" fontId="72" fillId="34" borderId="0" xfId="131" applyFont="1" applyFill="1" applyBorder="1"/>
    <xf numFmtId="0" fontId="72" fillId="35" borderId="0" xfId="108" applyFont="1" applyFill="1" applyBorder="1" applyAlignment="1">
      <alignment horizontal="right"/>
    </xf>
    <xf numFmtId="0" fontId="0" fillId="0" borderId="0" xfId="0" applyFill="1" applyBorder="1"/>
    <xf numFmtId="0" fontId="0" fillId="0" borderId="0" xfId="0" applyFill="1"/>
    <xf numFmtId="0" fontId="4" fillId="35" borderId="0" xfId="101" applyFont="1" applyFill="1" applyBorder="1" applyAlignment="1">
      <alignment horizontal="left"/>
    </xf>
    <xf numFmtId="164" fontId="5" fillId="35" borderId="0" xfId="101" applyNumberFormat="1" applyFont="1" applyFill="1" applyBorder="1"/>
    <xf numFmtId="164" fontId="72" fillId="35" borderId="0" xfId="101" applyNumberFormat="1" applyFont="1" applyFill="1" applyBorder="1"/>
    <xf numFmtId="1" fontId="73" fillId="35" borderId="0" xfId="101" applyNumberFormat="1" applyFont="1" applyFill="1" applyBorder="1"/>
    <xf numFmtId="2" fontId="73" fillId="35" borderId="0" xfId="102" applyNumberFormat="1" applyFont="1" applyFill="1" applyBorder="1" applyAlignment="1">
      <alignment horizontal="right"/>
    </xf>
    <xf numFmtId="1" fontId="72" fillId="36" borderId="0" xfId="123" applyNumberFormat="1" applyFont="1" applyFill="1" applyBorder="1" applyAlignment="1">
      <alignment horizontal="right"/>
    </xf>
    <xf numFmtId="1" fontId="73" fillId="35" borderId="0" xfId="102" applyNumberFormat="1" applyFont="1" applyFill="1" applyAlignment="1">
      <alignment horizontal="right"/>
    </xf>
    <xf numFmtId="1" fontId="73" fillId="35" borderId="0" xfId="102" applyNumberFormat="1" applyFont="1" applyFill="1"/>
    <xf numFmtId="1" fontId="72" fillId="35" borderId="0" xfId="102" applyNumberFormat="1" applyFont="1" applyFill="1"/>
    <xf numFmtId="0" fontId="74" fillId="34" borderId="0" xfId="130" applyFont="1" applyFill="1"/>
    <xf numFmtId="0" fontId="74" fillId="35" borderId="0" xfId="101" applyFont="1" applyFill="1" applyBorder="1" applyAlignment="1">
      <alignment horizontal="left" wrapText="1"/>
    </xf>
    <xf numFmtId="0" fontId="74" fillId="35" borderId="0" xfId="109" applyFont="1" applyFill="1" applyAlignment="1">
      <alignment vertical="center" wrapText="1"/>
    </xf>
    <xf numFmtId="0" fontId="74" fillId="35" borderId="0" xfId="0" applyFont="1" applyFill="1" applyAlignment="1">
      <alignment wrapText="1"/>
    </xf>
    <xf numFmtId="164" fontId="73" fillId="35" borderId="0" xfId="101" applyNumberFormat="1" applyFont="1" applyFill="1" applyBorder="1" applyAlignment="1"/>
    <xf numFmtId="0" fontId="88" fillId="0" borderId="0" xfId="0" applyFont="1"/>
    <xf numFmtId="0" fontId="73" fillId="35" borderId="0" xfId="102" applyFont="1" applyFill="1" applyBorder="1" applyAlignment="1">
      <alignment horizontal="left"/>
    </xf>
    <xf numFmtId="0" fontId="72" fillId="35" borderId="0" xfId="0" applyFont="1" applyFill="1" applyBorder="1" applyAlignment="1">
      <alignment horizontal="left" wrapText="1"/>
    </xf>
    <xf numFmtId="2" fontId="73" fillId="35" borderId="0" xfId="0" applyNumberFormat="1" applyFont="1" applyFill="1" applyBorder="1" applyAlignment="1">
      <alignment horizontal="right" wrapText="1"/>
    </xf>
    <xf numFmtId="164" fontId="4"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71" fillId="35" borderId="0" xfId="0" applyNumberFormat="1" applyFont="1" applyFill="1"/>
    <xf numFmtId="3" fontId="99" fillId="0" borderId="0" xfId="105" applyNumberFormat="1" applyFont="1" applyFill="1" applyBorder="1"/>
    <xf numFmtId="3" fontId="7" fillId="0" borderId="0" xfId="105" applyNumberFormat="1" applyFill="1" applyBorder="1"/>
    <xf numFmtId="3" fontId="7" fillId="0" borderId="0" xfId="105" applyNumberFormat="1" applyFill="1" applyBorder="1" applyAlignment="1">
      <alignment horizontal="right"/>
    </xf>
    <xf numFmtId="4" fontId="7" fillId="0" borderId="0" xfId="105" applyNumberFormat="1" applyFill="1" applyBorder="1"/>
    <xf numFmtId="3" fontId="100" fillId="0" borderId="0" xfId="105" applyNumberFormat="1" applyFont="1" applyFill="1" applyBorder="1"/>
    <xf numFmtId="3" fontId="70" fillId="0" borderId="0" xfId="105" applyNumberFormat="1" applyFont="1" applyFill="1" applyBorder="1"/>
    <xf numFmtId="4" fontId="70" fillId="0" borderId="0" xfId="105" applyNumberFormat="1" applyFont="1" applyFill="1" applyBorder="1"/>
    <xf numFmtId="0" fontId="71" fillId="35" borderId="13" xfId="0" applyFont="1" applyFill="1" applyBorder="1" applyAlignment="1">
      <alignment horizontal="right" wrapText="1"/>
    </xf>
    <xf numFmtId="0" fontId="65" fillId="34" borderId="0" xfId="131" applyFont="1" applyFill="1" applyBorder="1"/>
    <xf numFmtId="1" fontId="65" fillId="34" borderId="0" xfId="131" applyNumberFormat="1" applyFont="1" applyFill="1" applyBorder="1"/>
    <xf numFmtId="1" fontId="46" fillId="35" borderId="0" xfId="131" applyNumberFormat="1" applyFont="1" applyFill="1" applyBorder="1"/>
    <xf numFmtId="1" fontId="66" fillId="34" borderId="0" xfId="131" applyNumberFormat="1" applyFont="1" applyFill="1" applyBorder="1"/>
    <xf numFmtId="1" fontId="45" fillId="35" borderId="0" xfId="131" applyNumberFormat="1" applyFont="1" applyFill="1" applyBorder="1"/>
    <xf numFmtId="0" fontId="96" fillId="34" borderId="0" xfId="131" applyFont="1" applyFill="1" applyBorder="1"/>
    <xf numFmtId="0" fontId="102" fillId="34" borderId="0" xfId="131" applyFont="1" applyFill="1" applyBorder="1"/>
    <xf numFmtId="0" fontId="87" fillId="35" borderId="0" xfId="131" applyFont="1" applyFill="1" applyBorder="1"/>
    <xf numFmtId="164" fontId="65" fillId="34" borderId="0" xfId="131" applyNumberFormat="1" applyFont="1" applyFill="1" applyBorder="1"/>
    <xf numFmtId="164" fontId="103" fillId="34" borderId="0" xfId="131" applyNumberFormat="1" applyFont="1" applyFill="1" applyBorder="1"/>
    <xf numFmtId="164" fontId="104" fillId="34" borderId="0" xfId="131" applyNumberFormat="1" applyFont="1" applyFill="1" applyBorder="1" applyAlignment="1">
      <alignment horizontal="right" vertical="center" wrapText="1"/>
    </xf>
    <xf numFmtId="165" fontId="101" fillId="34" borderId="0" xfId="131" applyNumberFormat="1" applyFont="1" applyFill="1" applyBorder="1" applyAlignment="1">
      <alignment horizontal="right" vertical="center" wrapText="1"/>
    </xf>
    <xf numFmtId="164" fontId="106" fillId="34" borderId="0" xfId="131" applyNumberFormat="1" applyFont="1" applyFill="1" applyBorder="1"/>
    <xf numFmtId="165" fontId="101" fillId="34" borderId="0" xfId="131" applyNumberFormat="1" applyFont="1" applyFill="1" applyBorder="1"/>
    <xf numFmtId="0" fontId="65" fillId="35" borderId="0" xfId="131" applyFont="1" applyFill="1" applyBorder="1"/>
    <xf numFmtId="164" fontId="65" fillId="35" borderId="0" xfId="131" applyNumberFormat="1" applyFont="1" applyFill="1" applyBorder="1"/>
    <xf numFmtId="164" fontId="103" fillId="35" borderId="0" xfId="131" applyNumberFormat="1" applyFont="1" applyFill="1" applyBorder="1"/>
    <xf numFmtId="164" fontId="105" fillId="35" borderId="0" xfId="131" applyNumberFormat="1" applyFont="1" applyFill="1" applyBorder="1"/>
    <xf numFmtId="164" fontId="101" fillId="35" borderId="0" xfId="131" applyNumberFormat="1" applyFont="1" applyFill="1" applyBorder="1"/>
    <xf numFmtId="164" fontId="106" fillId="35" borderId="0" xfId="131" applyNumberFormat="1" applyFont="1" applyFill="1" applyBorder="1"/>
    <xf numFmtId="164" fontId="104" fillId="35" borderId="0" xfId="131" applyNumberFormat="1" applyFont="1" applyFill="1" applyBorder="1"/>
    <xf numFmtId="164" fontId="106" fillId="35" borderId="0" xfId="131" applyNumberFormat="1" applyFont="1" applyFill="1" applyBorder="1" applyAlignment="1">
      <alignment horizontal="right"/>
    </xf>
    <xf numFmtId="164" fontId="107" fillId="35" borderId="0" xfId="131" applyNumberFormat="1" applyFont="1" applyFill="1" applyBorder="1"/>
    <xf numFmtId="165" fontId="101" fillId="35" borderId="0" xfId="131" applyNumberFormat="1" applyFont="1" applyFill="1" applyBorder="1"/>
    <xf numFmtId="164" fontId="108" fillId="35" borderId="0" xfId="131" applyNumberFormat="1" applyFont="1" applyFill="1" applyBorder="1"/>
    <xf numFmtId="164" fontId="109" fillId="35" borderId="0" xfId="131" applyNumberFormat="1" applyFont="1" applyFill="1" applyBorder="1"/>
    <xf numFmtId="0" fontId="102" fillId="35" borderId="0" xfId="131" applyFont="1" applyFill="1" applyBorder="1"/>
    <xf numFmtId="0" fontId="110" fillId="35" borderId="0" xfId="131" applyFont="1" applyFill="1" applyBorder="1"/>
    <xf numFmtId="0" fontId="111" fillId="35" borderId="0" xfId="131" applyFont="1" applyFill="1" applyBorder="1" applyAlignment="1">
      <alignment horizontal="right"/>
    </xf>
    <xf numFmtId="0" fontId="112" fillId="35" borderId="0" xfId="131" applyFont="1" applyFill="1" applyBorder="1"/>
    <xf numFmtId="0" fontId="112" fillId="34" borderId="0" xfId="131" applyFont="1" applyFill="1" applyBorder="1"/>
    <xf numFmtId="0" fontId="65" fillId="35" borderId="0" xfId="131" applyFont="1" applyFill="1" applyBorder="1" applyAlignment="1">
      <alignment horizontal="right"/>
    </xf>
    <xf numFmtId="0" fontId="103" fillId="35" borderId="0" xfId="131" applyFont="1" applyFill="1" applyBorder="1" applyAlignment="1">
      <alignment horizontal="right"/>
    </xf>
    <xf numFmtId="0" fontId="106" fillId="35" borderId="0" xfId="131" applyFont="1" applyFill="1" applyBorder="1" applyAlignment="1">
      <alignment horizontal="right"/>
    </xf>
    <xf numFmtId="0" fontId="113" fillId="34" borderId="0" xfId="131" applyFont="1" applyFill="1" applyBorder="1"/>
    <xf numFmtId="0" fontId="110" fillId="35" borderId="0" xfId="131" applyFont="1" applyFill="1" applyBorder="1" applyAlignment="1">
      <alignment horizontal="right"/>
    </xf>
    <xf numFmtId="0" fontId="102" fillId="35" borderId="0" xfId="131" applyFont="1" applyFill="1" applyBorder="1" applyAlignment="1">
      <alignment horizontal="right"/>
    </xf>
    <xf numFmtId="0" fontId="114" fillId="35" borderId="0" xfId="131" applyFont="1" applyFill="1" applyBorder="1" applyAlignment="1">
      <alignment horizontal="right"/>
    </xf>
    <xf numFmtId="0" fontId="106" fillId="35" borderId="0" xfId="131" applyFont="1" applyFill="1" applyBorder="1"/>
    <xf numFmtId="0" fontId="96" fillId="35" borderId="0" xfId="131" applyFont="1" applyFill="1" applyBorder="1"/>
    <xf numFmtId="0" fontId="65" fillId="35" borderId="0" xfId="122" applyFont="1" applyFill="1" applyBorder="1"/>
    <xf numFmtId="164" fontId="96" fillId="35" borderId="0" xfId="131" applyNumberFormat="1" applyFont="1" applyFill="1" applyBorder="1"/>
    <xf numFmtId="0" fontId="97" fillId="35" borderId="0" xfId="122" applyFont="1" applyFill="1" applyBorder="1"/>
    <xf numFmtId="0" fontId="97" fillId="35" borderId="0" xfId="131" applyFont="1" applyFill="1" applyBorder="1"/>
    <xf numFmtId="168" fontId="66" fillId="34" borderId="0" xfId="131" applyNumberFormat="1" applyFont="1" applyFill="1" applyBorder="1"/>
    <xf numFmtId="168" fontId="45" fillId="34" borderId="0" xfId="131" applyNumberFormat="1" applyFont="1" applyFill="1" applyBorder="1"/>
    <xf numFmtId="1" fontId="101" fillId="34" borderId="0" xfId="131" applyNumberFormat="1" applyFont="1" applyFill="1" applyBorder="1"/>
    <xf numFmtId="164" fontId="96" fillId="34" borderId="0" xfId="131" applyNumberFormat="1" applyFont="1" applyFill="1" applyBorder="1"/>
    <xf numFmtId="0" fontId="97" fillId="34" borderId="0" xfId="131" applyFont="1" applyFill="1" applyBorder="1"/>
    <xf numFmtId="0" fontId="46" fillId="34" borderId="0" xfId="131" applyFont="1" applyFill="1" applyBorder="1"/>
    <xf numFmtId="164" fontId="105" fillId="34" borderId="0" xfId="131" applyNumberFormat="1" applyFont="1" applyFill="1" applyBorder="1" applyAlignment="1">
      <alignment horizontal="right" vertical="center" wrapText="1"/>
    </xf>
    <xf numFmtId="164" fontId="104" fillId="0" borderId="0" xfId="131" applyNumberFormat="1" applyFont="1" applyFill="1" applyBorder="1" applyAlignment="1">
      <alignment horizontal="right" vertical="center" wrapText="1"/>
    </xf>
    <xf numFmtId="164" fontId="105" fillId="34" borderId="0" xfId="131" applyNumberFormat="1" applyFont="1" applyFill="1" applyBorder="1"/>
    <xf numFmtId="164" fontId="101" fillId="34" borderId="0" xfId="131" applyNumberFormat="1" applyFont="1" applyFill="1" applyBorder="1"/>
    <xf numFmtId="0" fontId="115" fillId="35" borderId="0" xfId="122" applyFont="1" applyFill="1" applyBorder="1"/>
    <xf numFmtId="0" fontId="116" fillId="35" borderId="0" xfId="122" applyFont="1" applyFill="1" applyBorder="1"/>
    <xf numFmtId="0" fontId="83" fillId="35" borderId="0" xfId="131" applyFont="1" applyFill="1" applyBorder="1"/>
    <xf numFmtId="0" fontId="87" fillId="35" borderId="0" xfId="131" applyFont="1" applyFill="1" applyBorder="1" applyAlignment="1">
      <alignment horizontal="right"/>
    </xf>
    <xf numFmtId="0" fontId="74" fillId="0" borderId="0" xfId="115" applyFont="1" applyAlignment="1" applyProtection="1">
      <protection locked="0"/>
    </xf>
    <xf numFmtId="0" fontId="95" fillId="0" borderId="0" xfId="0" applyFont="1" applyAlignment="1"/>
    <xf numFmtId="0" fontId="74" fillId="35" borderId="0" xfId="101" applyFont="1" applyFill="1" applyBorder="1"/>
    <xf numFmtId="0" fontId="74" fillId="0" borderId="0" xfId="0" applyFont="1" applyAlignment="1">
      <alignment vertical="center"/>
    </xf>
    <xf numFmtId="0" fontId="74" fillId="35" borderId="0" xfId="0" applyFont="1" applyFill="1" applyAlignment="1">
      <alignment vertical="center"/>
    </xf>
    <xf numFmtId="0" fontId="2" fillId="35" borderId="0" xfId="101" applyFont="1" applyFill="1" applyBorder="1" applyAlignment="1">
      <alignment horizontal="left"/>
    </xf>
    <xf numFmtId="0" fontId="74" fillId="35" borderId="0" xfId="0" applyFont="1" applyFill="1"/>
    <xf numFmtId="0" fontId="74" fillId="35" borderId="0" xfId="108" applyFont="1" applyFill="1" applyBorder="1" applyAlignment="1">
      <alignment horizontal="left"/>
    </xf>
    <xf numFmtId="0" fontId="74" fillId="0" borderId="0" xfId="0" applyFont="1" applyAlignment="1"/>
    <xf numFmtId="0" fontId="74" fillId="34" borderId="0" xfId="133" applyFont="1" applyFill="1"/>
    <xf numFmtId="0" fontId="74" fillId="35" borderId="0" xfId="0" applyFont="1" applyFill="1" applyAlignment="1">
      <alignment horizontal="left"/>
    </xf>
    <xf numFmtId="0" fontId="74" fillId="35" borderId="0" xfId="102" applyFont="1" applyFill="1" applyBorder="1" applyAlignment="1">
      <alignment horizontal="left"/>
    </xf>
    <xf numFmtId="0" fontId="74" fillId="35" borderId="0" xfId="108" applyFont="1" applyFill="1" applyAlignment="1">
      <alignment horizontal="left"/>
    </xf>
    <xf numFmtId="1" fontId="71" fillId="35" borderId="0" xfId="0" applyNumberFormat="1" applyFont="1" applyFill="1" applyBorder="1" applyAlignment="1">
      <alignment horizontal="right"/>
    </xf>
    <xf numFmtId="0" fontId="74" fillId="35" borderId="0" xfId="127" applyFont="1" applyFill="1" applyAlignment="1"/>
    <xf numFmtId="0" fontId="74" fillId="35" borderId="0" xfId="124" applyFont="1" applyFill="1" applyBorder="1" applyAlignment="1">
      <alignment horizontal="left" vertical="top"/>
    </xf>
    <xf numFmtId="0" fontId="77" fillId="0" borderId="13" xfId="0" applyFont="1" applyBorder="1" applyAlignment="1"/>
    <xf numFmtId="0" fontId="71" fillId="0" borderId="13" xfId="0" applyFont="1" applyFill="1" applyBorder="1" applyAlignment="1">
      <alignment horizontal="right" wrapText="1"/>
    </xf>
    <xf numFmtId="0" fontId="74" fillId="34" borderId="0" xfId="128" applyFont="1" applyFill="1" applyBorder="1" applyAlignment="1"/>
    <xf numFmtId="0" fontId="73" fillId="35" borderId="0" xfId="101" applyFont="1" applyFill="1" applyAlignment="1"/>
    <xf numFmtId="0" fontId="74" fillId="35" borderId="0" xfId="128" applyFont="1" applyFill="1" applyAlignment="1"/>
    <xf numFmtId="0" fontId="77" fillId="0" borderId="13" xfId="0" applyFont="1" applyBorder="1"/>
    <xf numFmtId="0" fontId="71" fillId="0" borderId="13" xfId="0" applyFont="1" applyBorder="1" applyAlignment="1">
      <alignment horizontal="right" wrapText="1"/>
    </xf>
    <xf numFmtId="0" fontId="74" fillId="34" borderId="0" xfId="129" applyFont="1" applyFill="1" applyAlignment="1">
      <alignment horizontal="left"/>
    </xf>
    <xf numFmtId="0" fontId="73" fillId="35" borderId="0" xfId="0" applyFont="1" applyFill="1" applyAlignment="1">
      <alignment vertical="center"/>
    </xf>
    <xf numFmtId="0" fontId="74" fillId="34" borderId="0" xfId="130" applyFont="1" applyFill="1" applyAlignment="1"/>
    <xf numFmtId="164" fontId="5" fillId="35" borderId="13" xfId="130" applyNumberFormat="1" applyFont="1" applyFill="1" applyBorder="1" applyAlignment="1">
      <alignment horizontal="right" wrapText="1"/>
    </xf>
    <xf numFmtId="0" fontId="74" fillId="35" borderId="0" xfId="101" applyFont="1" applyFill="1" applyBorder="1" applyAlignment="1">
      <alignment horizontal="left"/>
    </xf>
    <xf numFmtId="0" fontId="0" fillId="0" borderId="0" xfId="0" applyAlignment="1">
      <alignment horizontal="left"/>
    </xf>
    <xf numFmtId="0" fontId="0" fillId="0" borderId="0" xfId="0" applyAlignment="1"/>
    <xf numFmtId="0" fontId="74" fillId="35" borderId="0" xfId="109" applyFont="1" applyFill="1" applyAlignment="1">
      <alignment vertical="center"/>
    </xf>
    <xf numFmtId="0" fontId="71" fillId="0" borderId="13" xfId="0" applyFont="1" applyBorder="1"/>
    <xf numFmtId="2" fontId="71" fillId="0" borderId="0" xfId="0" applyNumberFormat="1" applyFont="1"/>
    <xf numFmtId="0" fontId="74" fillId="35" borderId="0" xfId="0" applyFont="1" applyFill="1" applyAlignment="1"/>
    <xf numFmtId="0" fontId="74" fillId="34" borderId="0" xfId="131" applyFont="1" applyFill="1" applyAlignment="1"/>
    <xf numFmtId="0" fontId="72" fillId="35" borderId="0" xfId="131" applyFont="1" applyFill="1" applyBorder="1"/>
    <xf numFmtId="0" fontId="72" fillId="0" borderId="13" xfId="115" applyFont="1" applyBorder="1"/>
    <xf numFmtId="0" fontId="120" fillId="0" borderId="0" xfId="115" applyFont="1" applyBorder="1" applyAlignment="1">
      <alignment horizontal="left"/>
    </xf>
    <xf numFmtId="0" fontId="119" fillId="0" borderId="13" xfId="115" applyFont="1" applyBorder="1" applyAlignment="1">
      <alignment horizontal="right" wrapText="1"/>
    </xf>
    <xf numFmtId="0" fontId="73" fillId="0" borderId="0" xfId="115" applyFont="1" applyAlignment="1">
      <alignment horizontal="right"/>
    </xf>
    <xf numFmtId="0" fontId="73" fillId="0" borderId="0" xfId="115" applyFont="1" applyFill="1" applyAlignment="1">
      <alignment horizontal="right"/>
    </xf>
    <xf numFmtId="0" fontId="118" fillId="0" borderId="0" xfId="115" applyFont="1" applyProtection="1">
      <protection locked="0"/>
    </xf>
    <xf numFmtId="0" fontId="74" fillId="34" borderId="0" xfId="133" applyFont="1" applyFill="1" applyAlignment="1"/>
    <xf numFmtId="0" fontId="73" fillId="34" borderId="0" xfId="133" applyFont="1" applyFill="1" applyBorder="1" applyAlignment="1"/>
    <xf numFmtId="0" fontId="74" fillId="35" borderId="0" xfId="132" applyFont="1" applyFill="1" applyBorder="1" applyAlignment="1"/>
    <xf numFmtId="0" fontId="74" fillId="35" borderId="0" xfId="134" applyFont="1" applyFill="1" applyBorder="1" applyAlignment="1"/>
    <xf numFmtId="0" fontId="74" fillId="35" borderId="0" xfId="121" applyFont="1" applyFill="1" applyBorder="1" applyAlignment="1"/>
    <xf numFmtId="170" fontId="72" fillId="0" borderId="0" xfId="165" applyNumberFormat="1" applyFont="1" applyBorder="1"/>
    <xf numFmtId="0" fontId="71" fillId="0" borderId="0" xfId="0" applyFont="1"/>
    <xf numFmtId="0" fontId="74" fillId="34" borderId="0" xfId="130" applyFont="1" applyFill="1" applyAlignment="1">
      <alignment horizontal="left"/>
    </xf>
    <xf numFmtId="0" fontId="0" fillId="0" borderId="0" xfId="0" applyBorder="1"/>
    <xf numFmtId="0" fontId="88" fillId="0" borderId="0" xfId="0" applyFont="1" applyBorder="1"/>
    <xf numFmtId="0" fontId="77" fillId="0" borderId="0" xfId="0" applyFont="1" applyBorder="1"/>
    <xf numFmtId="2" fontId="71" fillId="0" borderId="0" xfId="0" applyNumberFormat="1" applyFont="1" applyBorder="1"/>
    <xf numFmtId="2" fontId="77" fillId="0" borderId="0" xfId="0" applyNumberFormat="1" applyFont="1" applyBorder="1"/>
    <xf numFmtId="0" fontId="73" fillId="35" borderId="0" xfId="102" applyFont="1" applyFill="1" applyBorder="1" applyAlignment="1">
      <alignment horizontal="right" wrapText="1"/>
    </xf>
    <xf numFmtId="0" fontId="117" fillId="35" borderId="0" xfId="0" applyFont="1" applyFill="1" applyBorder="1"/>
    <xf numFmtId="0" fontId="5" fillId="35" borderId="0" xfId="123" applyFont="1" applyFill="1" applyBorder="1" applyAlignment="1">
      <alignment horizontal="left"/>
    </xf>
    <xf numFmtId="0" fontId="74" fillId="35" borderId="0" xfId="128" applyFont="1" applyFill="1" applyAlignment="1">
      <alignment wrapText="1"/>
    </xf>
    <xf numFmtId="4" fontId="73" fillId="35" borderId="0" xfId="101" applyNumberFormat="1" applyFont="1" applyFill="1" applyBorder="1"/>
    <xf numFmtId="0" fontId="77" fillId="0" borderId="0" xfId="0" applyFont="1" applyFill="1" applyBorder="1"/>
    <xf numFmtId="2" fontId="71" fillId="0" borderId="0" xfId="0" applyNumberFormat="1" applyFont="1" applyFill="1" applyBorder="1"/>
    <xf numFmtId="0" fontId="72" fillId="35" borderId="13" xfId="129" applyFont="1" applyFill="1" applyBorder="1" applyAlignment="1">
      <alignment horizontal="right" wrapText="1"/>
    </xf>
    <xf numFmtId="1" fontId="72"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4" fillId="37" borderId="13" xfId="166" applyFont="1" applyFill="1" applyBorder="1" applyAlignment="1">
      <alignment horizontal="left"/>
    </xf>
    <xf numFmtId="0" fontId="5" fillId="37" borderId="13" xfId="166" applyFont="1" applyFill="1" applyBorder="1" applyAlignment="1">
      <alignment horizontal="right" wrapText="1"/>
    </xf>
    <xf numFmtId="0" fontId="4" fillId="37" borderId="13" xfId="166" applyFont="1" applyFill="1" applyBorder="1" applyAlignment="1">
      <alignment horizontal="right" wrapText="1"/>
    </xf>
    <xf numFmtId="3" fontId="5" fillId="37" borderId="0" xfId="166" applyNumberFormat="1" applyFont="1" applyFill="1" applyBorder="1" applyAlignment="1">
      <alignment horizontal="right"/>
    </xf>
    <xf numFmtId="3" fontId="4" fillId="37" borderId="0" xfId="166" applyNumberFormat="1" applyFont="1" applyFill="1" applyBorder="1" applyAlignment="1">
      <alignment horizontal="right"/>
    </xf>
    <xf numFmtId="0" fontId="5" fillId="37" borderId="0" xfId="102" applyFont="1" applyFill="1" applyBorder="1" applyAlignment="1">
      <alignment wrapText="1"/>
    </xf>
    <xf numFmtId="0" fontId="4" fillId="37" borderId="0" xfId="166" applyFont="1" applyFill="1" applyBorder="1" applyAlignment="1">
      <alignment horizontal="left"/>
    </xf>
    <xf numFmtId="0" fontId="1" fillId="37" borderId="0" xfId="102" applyFont="1" applyFill="1" applyBorder="1"/>
    <xf numFmtId="0" fontId="5" fillId="37" borderId="0" xfId="102" applyFont="1" applyFill="1" applyBorder="1" applyAlignment="1">
      <alignment vertical="top" wrapText="1"/>
    </xf>
    <xf numFmtId="0" fontId="73" fillId="35" borderId="0" xfId="124" applyFont="1" applyFill="1" applyAlignment="1">
      <alignment wrapText="1"/>
    </xf>
    <xf numFmtId="0" fontId="2" fillId="37" borderId="0" xfId="102" applyFont="1" applyFill="1" applyBorder="1" applyAlignment="1">
      <alignment horizontal="left"/>
    </xf>
    <xf numFmtId="0" fontId="4" fillId="37" borderId="13" xfId="128" applyFont="1" applyFill="1" applyBorder="1"/>
    <xf numFmtId="0" fontId="4" fillId="37" borderId="13" xfId="128" applyFont="1" applyFill="1" applyBorder="1" applyAlignment="1">
      <alignment horizontal="right" wrapText="1"/>
    </xf>
    <xf numFmtId="0" fontId="4" fillId="37" borderId="0" xfId="128" applyFont="1" applyFill="1" applyBorder="1" applyAlignment="1">
      <alignment horizontal="left"/>
    </xf>
    <xf numFmtId="164" fontId="5" fillId="37" borderId="0" xfId="128" applyNumberFormat="1" applyFont="1" applyFill="1" applyBorder="1"/>
    <xf numFmtId="164" fontId="4" fillId="37" borderId="0" xfId="128" applyNumberFormat="1" applyFont="1" applyFill="1" applyBorder="1"/>
    <xf numFmtId="0" fontId="4" fillId="37" borderId="17" xfId="128" applyFont="1" applyFill="1" applyBorder="1" applyAlignment="1">
      <alignment horizontal="left"/>
    </xf>
    <xf numFmtId="164" fontId="5" fillId="37" borderId="17" xfId="128" applyNumberFormat="1" applyFont="1" applyFill="1" applyBorder="1"/>
    <xf numFmtId="164" fontId="4" fillId="37" borderId="17" xfId="128" applyNumberFormat="1" applyFont="1" applyFill="1" applyBorder="1"/>
    <xf numFmtId="0" fontId="4" fillId="37" borderId="0" xfId="101" applyFont="1" applyFill="1" applyBorder="1" applyAlignment="1">
      <alignment horizontal="left"/>
    </xf>
    <xf numFmtId="164" fontId="5" fillId="37" borderId="0" xfId="101" applyNumberFormat="1" applyFont="1" applyFill="1" applyBorder="1" applyAlignment="1">
      <alignment horizontal="right"/>
    </xf>
    <xf numFmtId="164" fontId="4" fillId="37" borderId="0" xfId="101" applyNumberFormat="1" applyFont="1" applyFill="1" applyBorder="1" applyAlignment="1">
      <alignment horizontal="right"/>
    </xf>
    <xf numFmtId="0" fontId="5"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21" fillId="37" borderId="0" xfId="0" applyFont="1" applyFill="1" applyBorder="1" applyAlignment="1">
      <alignment horizontal="right"/>
    </xf>
    <xf numFmtId="0" fontId="121" fillId="37" borderId="0" xfId="0" applyFont="1" applyFill="1" applyBorder="1"/>
    <xf numFmtId="0" fontId="122" fillId="37" borderId="0" xfId="0" applyFont="1" applyFill="1" applyBorder="1" applyAlignment="1">
      <alignment horizontal="left" vertical="center"/>
    </xf>
    <xf numFmtId="0" fontId="4" fillId="37" borderId="13" xfId="0" applyFont="1" applyFill="1" applyBorder="1" applyAlignment="1">
      <alignment horizontal="left" wrapText="1"/>
    </xf>
    <xf numFmtId="0" fontId="5" fillId="37" borderId="13" xfId="0" applyFont="1" applyFill="1" applyBorder="1" applyAlignment="1">
      <alignment horizontal="right" wrapText="1"/>
    </xf>
    <xf numFmtId="0" fontId="5" fillId="37" borderId="0" xfId="0" applyFont="1" applyFill="1" applyBorder="1"/>
    <xf numFmtId="0" fontId="4" fillId="37" borderId="0" xfId="0" applyFont="1" applyFill="1" applyBorder="1" applyAlignment="1">
      <alignment horizontal="left"/>
    </xf>
    <xf numFmtId="1" fontId="5" fillId="37" borderId="0" xfId="0" applyNumberFormat="1" applyFont="1" applyFill="1" applyBorder="1" applyAlignment="1">
      <alignment horizontal="right"/>
    </xf>
    <xf numFmtId="0" fontId="5" fillId="37" borderId="0" xfId="0" applyFont="1" applyFill="1" applyBorder="1" applyAlignment="1">
      <alignment horizontal="right"/>
    </xf>
    <xf numFmtId="0" fontId="5" fillId="37" borderId="0" xfId="0" applyFont="1" applyFill="1" applyBorder="1" applyAlignment="1">
      <alignment horizontal="left"/>
    </xf>
    <xf numFmtId="2" fontId="5" fillId="37" borderId="0" xfId="128" applyNumberFormat="1" applyFont="1" applyFill="1" applyBorder="1" applyAlignment="1">
      <alignment horizontal="right" wrapText="1"/>
    </xf>
    <xf numFmtId="2" fontId="5" fillId="37" borderId="17" xfId="128" applyNumberFormat="1" applyFont="1" applyFill="1" applyBorder="1" applyAlignment="1">
      <alignment horizontal="right" wrapText="1"/>
    </xf>
    <xf numFmtId="2" fontId="5" fillId="37" borderId="0" xfId="101" applyNumberFormat="1" applyFont="1" applyFill="1" applyBorder="1" applyAlignment="1">
      <alignment horizontal="right" wrapText="1"/>
    </xf>
    <xf numFmtId="1" fontId="4" fillId="37" borderId="0" xfId="128" applyNumberFormat="1" applyFont="1" applyFill="1" applyBorder="1" applyAlignment="1">
      <alignment horizontal="left"/>
    </xf>
    <xf numFmtId="164" fontId="5" fillId="37" borderId="0" xfId="128" applyNumberFormat="1" applyFont="1" applyFill="1" applyBorder="1" applyAlignment="1">
      <alignment horizontal="right"/>
    </xf>
    <xf numFmtId="164" fontId="4" fillId="37" borderId="0" xfId="128" applyNumberFormat="1" applyFont="1" applyFill="1" applyBorder="1" applyAlignment="1">
      <alignment horizontal="right"/>
    </xf>
    <xf numFmtId="1" fontId="4" fillId="37" borderId="17" xfId="128" applyNumberFormat="1" applyFont="1" applyFill="1" applyBorder="1" applyAlignment="1">
      <alignment horizontal="left"/>
    </xf>
    <xf numFmtId="164" fontId="5" fillId="37" borderId="17" xfId="128" applyNumberFormat="1" applyFont="1" applyFill="1" applyBorder="1" applyAlignment="1">
      <alignment horizontal="right"/>
    </xf>
    <xf numFmtId="164" fontId="4" fillId="37" borderId="17" xfId="128" applyNumberFormat="1" applyFont="1" applyFill="1" applyBorder="1" applyAlignment="1">
      <alignment horizontal="right"/>
    </xf>
    <xf numFmtId="164" fontId="5" fillId="37" borderId="0" xfId="101" applyNumberFormat="1" applyFont="1" applyFill="1" applyBorder="1"/>
    <xf numFmtId="164" fontId="4" fillId="37" borderId="0" xfId="101" applyNumberFormat="1" applyFont="1" applyFill="1" applyBorder="1"/>
    <xf numFmtId="0" fontId="81" fillId="0" borderId="0" xfId="0" applyFont="1" applyFill="1" applyBorder="1"/>
    <xf numFmtId="164" fontId="72" fillId="35" borderId="0" xfId="129" applyNumberFormat="1" applyFont="1" applyFill="1" applyBorder="1" applyAlignment="1">
      <alignment horizontal="right"/>
    </xf>
    <xf numFmtId="0" fontId="71" fillId="0" borderId="0" xfId="0" applyFont="1" applyAlignment="1">
      <alignment vertical="center"/>
    </xf>
    <xf numFmtId="0" fontId="73" fillId="35" borderId="0" xfId="128" applyFont="1" applyFill="1"/>
    <xf numFmtId="0" fontId="71" fillId="35" borderId="0" xfId="101" applyFont="1" applyFill="1" applyBorder="1"/>
    <xf numFmtId="0" fontId="71" fillId="35" borderId="13" xfId="0" applyFont="1" applyFill="1" applyBorder="1" applyAlignment="1">
      <alignment horizontal="right"/>
    </xf>
    <xf numFmtId="0" fontId="4" fillId="37" borderId="13" xfId="166" applyFont="1" applyFill="1" applyBorder="1" applyAlignment="1">
      <alignment horizontal="left" wrapText="1"/>
    </xf>
    <xf numFmtId="0" fontId="91" fillId="35" borderId="0" xfId="0" applyFont="1" applyFill="1"/>
    <xf numFmtId="0" fontId="72" fillId="35" borderId="0" xfId="118" applyFont="1" applyFill="1" applyBorder="1" applyAlignment="1">
      <alignment horizontal="left"/>
    </xf>
    <xf numFmtId="0" fontId="71" fillId="0" borderId="0" xfId="0" applyFont="1" applyAlignment="1"/>
    <xf numFmtId="0" fontId="73" fillId="35" borderId="0" xfId="118" applyFont="1" applyFill="1" applyBorder="1" applyAlignment="1">
      <alignment horizontal="right" wrapText="1"/>
    </xf>
    <xf numFmtId="0" fontId="71" fillId="0" borderId="0" xfId="0" applyFont="1" applyAlignment="1">
      <alignment horizontal="left"/>
    </xf>
    <xf numFmtId="0" fontId="72" fillId="35" borderId="13" xfId="118" applyFont="1" applyFill="1" applyBorder="1" applyAlignment="1">
      <alignment horizontal="left"/>
    </xf>
    <xf numFmtId="3" fontId="73" fillId="35" borderId="13" xfId="118" applyNumberFormat="1" applyFont="1" applyFill="1" applyBorder="1" applyAlignment="1">
      <alignment horizontal="right"/>
    </xf>
    <xf numFmtId="3" fontId="72" fillId="35" borderId="0" xfId="118" applyNumberFormat="1" applyFont="1" applyFill="1" applyBorder="1" applyAlignment="1">
      <alignment horizontal="right"/>
    </xf>
    <xf numFmtId="3" fontId="73" fillId="35" borderId="0" xfId="118" applyNumberFormat="1" applyFont="1" applyFill="1" applyBorder="1" applyAlignment="1">
      <alignment horizontal="right"/>
    </xf>
    <xf numFmtId="0" fontId="77" fillId="35" borderId="0" xfId="0" applyFont="1" applyFill="1"/>
    <xf numFmtId="164" fontId="71" fillId="35" borderId="0" xfId="0" applyNumberFormat="1" applyFont="1" applyFill="1"/>
    <xf numFmtId="0" fontId="77" fillId="35" borderId="0" xfId="0" applyFont="1" applyFill="1" applyBorder="1"/>
    <xf numFmtId="0" fontId="123" fillId="35" borderId="0" xfId="97" applyFont="1" applyFill="1"/>
    <xf numFmtId="0" fontId="72" fillId="35" borderId="13" xfId="133" applyFont="1" applyFill="1" applyBorder="1" applyAlignment="1">
      <alignment horizontal="left" wrapText="1"/>
    </xf>
    <xf numFmtId="0" fontId="73" fillId="35" borderId="0" xfId="113" applyFont="1" applyFill="1" applyAlignment="1">
      <alignment wrapText="1"/>
    </xf>
    <xf numFmtId="0" fontId="73" fillId="0" borderId="0" xfId="0" applyFont="1" applyFill="1" applyBorder="1" applyAlignment="1">
      <alignment wrapText="1"/>
    </xf>
    <xf numFmtId="0" fontId="73" fillId="35" borderId="0" xfId="130" applyFont="1" applyFill="1"/>
    <xf numFmtId="0" fontId="5" fillId="35" borderId="0" xfId="101" applyFont="1" applyFill="1" applyBorder="1" applyAlignment="1">
      <alignment horizontal="right"/>
    </xf>
    <xf numFmtId="0" fontId="49" fillId="35" borderId="0" xfId="130" applyFont="1" applyFill="1" applyBorder="1"/>
    <xf numFmtId="0" fontId="79" fillId="35" borderId="0" xfId="0" applyFont="1" applyFill="1" applyBorder="1"/>
    <xf numFmtId="164" fontId="4" fillId="35" borderId="13" xfId="130" applyNumberFormat="1" applyFont="1" applyFill="1" applyBorder="1" applyAlignment="1">
      <alignment horizontal="right" wrapText="1"/>
    </xf>
    <xf numFmtId="0" fontId="79" fillId="35" borderId="0" xfId="101" applyFont="1" applyFill="1" applyBorder="1"/>
    <xf numFmtId="0" fontId="79" fillId="0" borderId="0" xfId="0" applyFont="1" applyFill="1" applyBorder="1" applyAlignment="1">
      <alignment horizontal="right" wrapText="1"/>
    </xf>
    <xf numFmtId="0" fontId="124" fillId="34" borderId="0" xfId="131" applyFont="1" applyFill="1"/>
    <xf numFmtId="3" fontId="77" fillId="36" borderId="0" xfId="123" applyNumberFormat="1" applyFont="1" applyFill="1" applyBorder="1" applyAlignment="1">
      <alignment horizontal="right"/>
    </xf>
    <xf numFmtId="3" fontId="72" fillId="36" borderId="0" xfId="123" applyNumberFormat="1" applyFont="1" applyFill="1" applyBorder="1" applyAlignment="1">
      <alignment horizontal="right"/>
    </xf>
    <xf numFmtId="0" fontId="77" fillId="35" borderId="0" xfId="123" applyFont="1" applyFill="1" applyBorder="1" applyAlignment="1">
      <alignment horizontal="right" wrapText="1"/>
    </xf>
    <xf numFmtId="3" fontId="71" fillId="36" borderId="0" xfId="123" applyNumberFormat="1" applyFont="1" applyFill="1" applyBorder="1" applyAlignment="1">
      <alignment horizontal="right"/>
    </xf>
    <xf numFmtId="0" fontId="72" fillId="36" borderId="0" xfId="123" applyNumberFormat="1" applyFont="1" applyFill="1" applyBorder="1" applyAlignment="1">
      <alignment horizontal="left"/>
    </xf>
    <xf numFmtId="3" fontId="73" fillId="36" borderId="0" xfId="123" applyNumberFormat="1" applyFont="1" applyFill="1" applyBorder="1" applyAlignment="1">
      <alignment horizontal="right"/>
    </xf>
    <xf numFmtId="1" fontId="72" fillId="36" borderId="0" xfId="123" applyNumberFormat="1" applyFont="1" applyFill="1" applyBorder="1" applyAlignment="1">
      <alignment horizontal="left"/>
    </xf>
    <xf numFmtId="0" fontId="123" fillId="35" borderId="0" xfId="97" applyFont="1" applyFill="1" applyBorder="1"/>
    <xf numFmtId="0" fontId="74" fillId="35" borderId="0" xfId="123" applyFont="1" applyFill="1" applyBorder="1" applyAlignment="1">
      <alignment horizontal="left"/>
    </xf>
    <xf numFmtId="0" fontId="77" fillId="35" borderId="0" xfId="123" applyFont="1" applyFill="1" applyBorder="1" applyAlignment="1">
      <alignment horizontal="left" wrapText="1"/>
    </xf>
    <xf numFmtId="0" fontId="71" fillId="35" borderId="0" xfId="123" applyFont="1" applyFill="1" applyBorder="1" applyAlignment="1">
      <alignment horizontal="right" wrapText="1"/>
    </xf>
    <xf numFmtId="0" fontId="73" fillId="35" borderId="0" xfId="126" applyFont="1" applyFill="1" applyBorder="1" applyAlignment="1">
      <alignment horizontal="left"/>
    </xf>
    <xf numFmtId="0" fontId="125" fillId="35" borderId="0" xfId="102" applyFont="1" applyFill="1" applyBorder="1" applyAlignment="1">
      <alignment horizontal="left"/>
    </xf>
    <xf numFmtId="0" fontId="0" fillId="35" borderId="0" xfId="0" applyFill="1"/>
    <xf numFmtId="0" fontId="1" fillId="35" borderId="0" xfId="102" applyFont="1" applyFill="1"/>
    <xf numFmtId="0" fontId="72" fillId="35" borderId="0" xfId="125" applyFont="1" applyFill="1" applyBorder="1" applyAlignment="1">
      <alignment horizontal="right" wrapText="1"/>
    </xf>
    <xf numFmtId="4" fontId="72" fillId="35" borderId="0" xfId="125" applyNumberFormat="1" applyFont="1" applyFill="1" applyBorder="1" applyAlignment="1">
      <alignment horizontal="right"/>
    </xf>
    <xf numFmtId="0" fontId="73" fillId="35" borderId="0" xfId="129" applyFont="1" applyFill="1"/>
    <xf numFmtId="0" fontId="79" fillId="35" borderId="0" xfId="0" applyFont="1" applyFill="1" applyBorder="1" applyAlignment="1">
      <alignment horizontal="right"/>
    </xf>
    <xf numFmtId="0" fontId="126" fillId="35" borderId="0" xfId="108" applyFont="1" applyFill="1" applyBorder="1"/>
    <xf numFmtId="0" fontId="88" fillId="35" borderId="0" xfId="0" applyFont="1" applyFill="1" applyAlignment="1"/>
    <xf numFmtId="0" fontId="64"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5" fillId="35" borderId="0" xfId="101" applyFont="1" applyFill="1" applyBorder="1"/>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6" fillId="35" borderId="0" xfId="0" applyFont="1" applyFill="1" applyBorder="1" applyAlignment="1">
      <alignment horizontal="left" vertical="center"/>
    </xf>
    <xf numFmtId="3" fontId="86" fillId="35" borderId="0" xfId="0" applyNumberFormat="1" applyFont="1" applyFill="1" applyBorder="1" applyAlignment="1">
      <alignment horizontal="right" vertical="center"/>
    </xf>
    <xf numFmtId="0" fontId="84" fillId="35" borderId="0" xfId="0" applyFont="1" applyFill="1" applyBorder="1" applyAlignment="1">
      <alignment horizontal="left" vertical="center" wrapText="1"/>
    </xf>
    <xf numFmtId="0" fontId="0" fillId="35" borderId="0" xfId="0" applyFill="1" applyAlignment="1"/>
    <xf numFmtId="0" fontId="72" fillId="0" borderId="0" xfId="102" applyFont="1" applyFill="1" applyBorder="1" applyAlignment="1">
      <alignment horizontal="left"/>
    </xf>
    <xf numFmtId="1" fontId="73" fillId="0" borderId="0" xfId="102" applyNumberFormat="1" applyFont="1" applyFill="1" applyBorder="1" applyAlignment="1">
      <alignment horizontal="right"/>
    </xf>
    <xf numFmtId="1" fontId="73" fillId="0" borderId="0" xfId="102" applyNumberFormat="1" applyFont="1" applyFill="1" applyBorder="1"/>
    <xf numFmtId="0" fontId="73" fillId="0" borderId="0" xfId="102" applyFont="1" applyFill="1" applyBorder="1" applyAlignment="1">
      <alignment horizontal="right"/>
    </xf>
    <xf numFmtId="0" fontId="73" fillId="0" borderId="0" xfId="102" applyFont="1" applyFill="1" applyBorder="1"/>
    <xf numFmtId="1" fontId="73" fillId="35" borderId="0" xfId="133" applyNumberFormat="1" applyFont="1" applyFill="1" applyBorder="1" applyAlignment="1">
      <alignment horizontal="right"/>
    </xf>
    <xf numFmtId="1" fontId="73" fillId="35" borderId="0" xfId="113" applyNumberFormat="1" applyFont="1" applyFill="1" applyBorder="1"/>
    <xf numFmtId="0" fontId="124" fillId="35" borderId="0" xfId="102" applyFont="1" applyFill="1"/>
    <xf numFmtId="0" fontId="79" fillId="35" borderId="0" xfId="102" applyFont="1" applyFill="1"/>
    <xf numFmtId="164" fontId="73" fillId="35" borderId="0" xfId="132" applyNumberFormat="1" applyFont="1" applyFill="1" applyBorder="1" applyAlignment="1">
      <alignment horizontal="right"/>
    </xf>
    <xf numFmtId="164" fontId="73" fillId="35" borderId="0" xfId="102" applyNumberFormat="1" applyFont="1" applyFill="1" applyAlignment="1">
      <alignment horizontal="right"/>
    </xf>
    <xf numFmtId="164" fontId="73" fillId="35" borderId="0" xfId="102" applyNumberFormat="1" applyFont="1" applyFill="1"/>
    <xf numFmtId="0" fontId="0" fillId="35" borderId="0" xfId="0" applyFill="1" applyBorder="1"/>
    <xf numFmtId="1" fontId="73" fillId="35" borderId="0" xfId="134" applyNumberFormat="1" applyFont="1" applyFill="1" applyBorder="1" applyAlignment="1">
      <alignment horizontal="right" wrapText="1"/>
    </xf>
    <xf numFmtId="1" fontId="0" fillId="0" borderId="0" xfId="0" applyNumberFormat="1"/>
    <xf numFmtId="1" fontId="73" fillId="35" borderId="0" xfId="134" applyNumberFormat="1" applyFont="1" applyFill="1" applyBorder="1" applyAlignment="1">
      <alignment horizontal="right"/>
    </xf>
    <xf numFmtId="0" fontId="124" fillId="35" borderId="0" xfId="108" applyFont="1" applyFill="1" applyBorder="1" applyAlignment="1">
      <alignment horizontal="left"/>
    </xf>
    <xf numFmtId="0" fontId="124" fillId="35" borderId="0" xfId="108" applyFont="1" applyFill="1" applyBorder="1" applyAlignment="1">
      <alignment horizontal="right"/>
    </xf>
    <xf numFmtId="0" fontId="72" fillId="35" borderId="13" xfId="102" applyFont="1" applyFill="1" applyBorder="1" applyAlignment="1">
      <alignment horizontal="left"/>
    </xf>
    <xf numFmtId="1" fontId="72" fillId="35" borderId="0" xfId="102" applyNumberFormat="1" applyFont="1" applyFill="1" applyBorder="1" applyAlignment="1">
      <alignment horizontal="left"/>
    </xf>
    <xf numFmtId="164" fontId="73" fillId="35" borderId="0" xfId="102" applyNumberFormat="1" applyFont="1" applyFill="1" applyBorder="1"/>
    <xf numFmtId="164" fontId="72" fillId="35" borderId="0" xfId="102" applyNumberFormat="1" applyFont="1" applyFill="1" applyBorder="1"/>
    <xf numFmtId="164" fontId="73" fillId="35" borderId="22" xfId="102" applyNumberFormat="1" applyFont="1" applyFill="1" applyBorder="1"/>
    <xf numFmtId="1" fontId="77" fillId="35" borderId="17" xfId="0" applyNumberFormat="1" applyFont="1" applyFill="1" applyBorder="1" applyAlignment="1">
      <alignment horizontal="left"/>
    </xf>
    <xf numFmtId="164" fontId="71" fillId="35" borderId="17" xfId="0" applyNumberFormat="1" applyFont="1" applyFill="1" applyBorder="1" applyAlignment="1">
      <alignment horizontal="right"/>
    </xf>
    <xf numFmtId="164" fontId="71" fillId="35" borderId="0" xfId="0" applyNumberFormat="1" applyFont="1" applyFill="1" applyBorder="1" applyAlignment="1">
      <alignment horizontal="right"/>
    </xf>
    <xf numFmtId="164" fontId="77" fillId="35" borderId="0" xfId="0" applyNumberFormat="1" applyFont="1" applyFill="1" applyBorder="1" applyAlignment="1">
      <alignment horizontal="right"/>
    </xf>
    <xf numFmtId="164" fontId="71" fillId="35" borderId="23" xfId="0" applyNumberFormat="1" applyFont="1" applyFill="1" applyBorder="1" applyAlignment="1">
      <alignment horizontal="right"/>
    </xf>
    <xf numFmtId="0" fontId="72" fillId="35" borderId="13" xfId="102" applyFont="1" applyFill="1" applyBorder="1" applyAlignment="1">
      <alignment horizontal="right" wrapText="1"/>
    </xf>
    <xf numFmtId="1" fontId="72" fillId="35" borderId="0" xfId="102" applyNumberFormat="1" applyFont="1" applyFill="1" applyBorder="1"/>
    <xf numFmtId="1" fontId="77" fillId="35" borderId="0" xfId="0" applyNumberFormat="1" applyFont="1" applyFill="1" applyBorder="1" applyAlignment="1">
      <alignment horizontal="right"/>
    </xf>
    <xf numFmtId="164" fontId="73" fillId="35" borderId="0" xfId="102" applyNumberFormat="1" applyFont="1" applyFill="1" applyBorder="1" applyAlignment="1">
      <alignment horizontal="right"/>
    </xf>
    <xf numFmtId="164" fontId="72" fillId="35" borderId="0" xfId="0" applyNumberFormat="1" applyFont="1" applyFill="1" applyAlignment="1">
      <alignment horizontal="right"/>
    </xf>
    <xf numFmtId="164" fontId="72" fillId="35" borderId="17" xfId="0" applyNumberFormat="1" applyFont="1" applyFill="1" applyBorder="1" applyAlignment="1">
      <alignment horizontal="right"/>
    </xf>
    <xf numFmtId="164" fontId="72" fillId="35" borderId="17" xfId="129" applyNumberFormat="1" applyFont="1" applyFill="1" applyBorder="1" applyAlignment="1">
      <alignment horizontal="right"/>
    </xf>
    <xf numFmtId="3" fontId="72" fillId="35" borderId="0" xfId="118" applyNumberFormat="1" applyFont="1" applyFill="1" applyAlignment="1">
      <alignment horizontal="right"/>
    </xf>
    <xf numFmtId="0" fontId="77" fillId="35" borderId="13" xfId="0" applyFont="1" applyFill="1" applyBorder="1" applyAlignment="1">
      <alignment horizontal="right" wrapText="1"/>
    </xf>
    <xf numFmtId="0" fontId="0" fillId="35" borderId="0" xfId="0" applyFont="1" applyFill="1" applyBorder="1"/>
    <xf numFmtId="0" fontId="73" fillId="35" borderId="0" xfId="129" applyFont="1" applyFill="1" applyBorder="1"/>
    <xf numFmtId="0" fontId="73" fillId="35" borderId="0" xfId="102" applyFont="1" applyFill="1" applyBorder="1" applyAlignment="1"/>
    <xf numFmtId="3" fontId="73" fillId="35" borderId="0" xfId="135" applyNumberFormat="1" applyFont="1" applyFill="1" applyBorder="1" applyAlignment="1">
      <alignment horizontal="right"/>
    </xf>
    <xf numFmtId="3" fontId="72" fillId="35" borderId="0" xfId="135" applyNumberFormat="1" applyFont="1" applyFill="1" applyBorder="1" applyAlignment="1">
      <alignment horizontal="right"/>
    </xf>
    <xf numFmtId="3" fontId="73" fillId="35" borderId="17" xfId="135" applyNumberFormat="1" applyFont="1" applyFill="1" applyBorder="1" applyAlignment="1">
      <alignment horizontal="right"/>
    </xf>
    <xf numFmtId="3" fontId="72" fillId="35" borderId="17" xfId="135" applyNumberFormat="1" applyFont="1" applyFill="1" applyBorder="1" applyAlignment="1">
      <alignment horizontal="right"/>
    </xf>
    <xf numFmtId="3" fontId="73" fillId="35" borderId="0" xfId="102" applyNumberFormat="1" applyFont="1" applyFill="1" applyBorder="1" applyAlignment="1">
      <alignment horizontal="right"/>
    </xf>
    <xf numFmtId="3" fontId="72" fillId="35" borderId="0" xfId="102" applyNumberFormat="1" applyFont="1" applyFill="1" applyBorder="1" applyAlignment="1">
      <alignment horizontal="right"/>
    </xf>
    <xf numFmtId="1" fontId="72" fillId="35" borderId="15" xfId="126" applyNumberFormat="1" applyFont="1" applyFill="1" applyBorder="1" applyAlignment="1">
      <alignment horizontal="right"/>
    </xf>
    <xf numFmtId="0" fontId="73" fillId="35" borderId="0" xfId="0" applyFont="1" applyFill="1" applyAlignment="1"/>
    <xf numFmtId="2" fontId="71" fillId="35" borderId="0" xfId="0" applyNumberFormat="1" applyFont="1" applyFill="1"/>
    <xf numFmtId="2" fontId="73" fillId="35" borderId="0" xfId="0" applyNumberFormat="1" applyFont="1" applyFill="1"/>
    <xf numFmtId="0" fontId="73" fillId="35" borderId="13" xfId="124" applyFont="1" applyFill="1" applyBorder="1" applyAlignment="1">
      <alignment horizontal="right" wrapText="1"/>
    </xf>
    <xf numFmtId="0" fontId="77" fillId="35" borderId="0" xfId="0" applyFont="1" applyFill="1" applyBorder="1" applyAlignment="1">
      <alignment horizontal="right"/>
    </xf>
    <xf numFmtId="1" fontId="72" fillId="35" borderId="0" xfId="127" applyNumberFormat="1" applyFont="1" applyFill="1" applyBorder="1" applyAlignment="1">
      <alignment horizontal="right"/>
    </xf>
    <xf numFmtId="1" fontId="72" fillId="35" borderId="18" xfId="127" applyNumberFormat="1" applyFont="1" applyFill="1" applyBorder="1" applyAlignment="1">
      <alignment horizontal="right"/>
    </xf>
    <xf numFmtId="1" fontId="73" fillId="35" borderId="0" xfId="127" applyNumberFormat="1" applyFont="1" applyFill="1" applyBorder="1" applyAlignment="1">
      <alignment horizontal="right"/>
    </xf>
    <xf numFmtId="1" fontId="73" fillId="35" borderId="18" xfId="127" applyNumberFormat="1" applyFont="1" applyFill="1" applyBorder="1" applyAlignment="1">
      <alignment horizontal="right"/>
    </xf>
    <xf numFmtId="1" fontId="72" fillId="35" borderId="0" xfId="128" applyNumberFormat="1" applyFont="1" applyFill="1" applyBorder="1"/>
    <xf numFmtId="1" fontId="72" fillId="35" borderId="17" xfId="128" applyNumberFormat="1" applyFont="1" applyFill="1" applyBorder="1"/>
    <xf numFmtId="0" fontId="77" fillId="0" borderId="0" xfId="0" applyFont="1" applyBorder="1" applyAlignment="1">
      <alignment horizontal="left" vertical="center"/>
    </xf>
    <xf numFmtId="0" fontId="86" fillId="0" borderId="0" xfId="0" applyFont="1" applyFill="1" applyBorder="1" applyAlignment="1">
      <alignment horizontal="left" vertical="center"/>
    </xf>
    <xf numFmtId="0" fontId="74" fillId="35" borderId="0" xfId="101" applyFont="1" applyFill="1" applyAlignment="1"/>
    <xf numFmtId="0" fontId="74" fillId="35" borderId="0" xfId="124" applyFont="1" applyFill="1" applyBorder="1" applyAlignment="1"/>
    <xf numFmtId="0" fontId="74" fillId="35" borderId="0" xfId="124" applyFont="1" applyFill="1" applyAlignment="1"/>
    <xf numFmtId="0" fontId="74" fillId="35" borderId="0" xfId="101" applyFont="1" applyFill="1" applyBorder="1" applyAlignment="1">
      <alignment horizontal="right"/>
    </xf>
    <xf numFmtId="3" fontId="72"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4" fontId="2" fillId="35" borderId="0" xfId="101" applyNumberFormat="1" applyFont="1" applyFill="1" applyBorder="1" applyAlignment="1">
      <alignment horizontal="right"/>
    </xf>
    <xf numFmtId="0" fontId="5" fillId="35" borderId="0" xfId="130" applyFont="1" applyFill="1"/>
    <xf numFmtId="2" fontId="46" fillId="35" borderId="0" xfId="130" applyNumberFormat="1" applyFont="1" applyFill="1" applyBorder="1"/>
    <xf numFmtId="2" fontId="50" fillId="35" borderId="0" xfId="130" applyNumberFormat="1" applyFont="1" applyFill="1" applyBorder="1"/>
    <xf numFmtId="0" fontId="73" fillId="35" borderId="0" xfId="118" applyFont="1" applyFill="1" applyAlignment="1">
      <alignment horizontal="left"/>
    </xf>
    <xf numFmtId="0" fontId="74" fillId="35" borderId="0" xfId="108" applyFont="1" applyFill="1"/>
    <xf numFmtId="3" fontId="71" fillId="0" borderId="0" xfId="0" applyNumberFormat="1" applyFont="1"/>
    <xf numFmtId="1" fontId="73" fillId="0" borderId="0" xfId="117" applyNumberFormat="1" applyFont="1" applyFill="1" applyBorder="1" applyAlignment="1">
      <alignment vertical="center"/>
    </xf>
    <xf numFmtId="1" fontId="71" fillId="0" borderId="0" xfId="0" applyNumberFormat="1" applyFont="1" applyFill="1" applyBorder="1" applyAlignment="1">
      <alignment vertical="center"/>
    </xf>
    <xf numFmtId="0" fontId="74" fillId="34" borderId="0" xfId="133" applyFont="1" applyFill="1" applyAlignment="1"/>
    <xf numFmtId="0" fontId="73" fillId="35" borderId="0" xfId="168" applyFont="1" applyFill="1" applyBorder="1" applyAlignment="1">
      <alignment horizontal="left"/>
    </xf>
    <xf numFmtId="0" fontId="73" fillId="35" borderId="0" xfId="168" applyFont="1" applyFill="1" applyBorder="1" applyAlignment="1">
      <alignment horizontal="right"/>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164" fontId="72" fillId="35" borderId="0" xfId="133" applyNumberFormat="1" applyFont="1" applyFill="1" applyBorder="1" applyAlignment="1">
      <alignment horizontal="right"/>
    </xf>
    <xf numFmtId="0" fontId="73" fillId="34" borderId="0" xfId="133" applyFont="1" applyFill="1"/>
    <xf numFmtId="0" fontId="73" fillId="34" borderId="0" xfId="133" applyFont="1" applyFill="1" applyAlignment="1"/>
    <xf numFmtId="0" fontId="72" fillId="35" borderId="0" xfId="168" applyFont="1" applyFill="1" applyBorder="1" applyAlignment="1">
      <alignment horizontal="right"/>
    </xf>
    <xf numFmtId="0" fontId="72" fillId="34" borderId="0" xfId="133" applyFont="1" applyFill="1" applyAlignment="1"/>
    <xf numFmtId="0" fontId="73" fillId="35" borderId="0" xfId="168" applyFont="1" applyFill="1" applyAlignment="1">
      <alignment horizontal="left"/>
    </xf>
    <xf numFmtId="0" fontId="73" fillId="35" borderId="0" xfId="168" applyFont="1" applyFill="1" applyAlignment="1">
      <alignment horizontal="right"/>
    </xf>
    <xf numFmtId="0" fontId="72" fillId="35" borderId="0" xfId="168" applyFont="1" applyFill="1" applyAlignment="1">
      <alignment horizontal="right"/>
    </xf>
    <xf numFmtId="0" fontId="78" fillId="34" borderId="0" xfId="128" applyFont="1" applyFill="1" applyAlignment="1">
      <alignment horizontal="left"/>
    </xf>
    <xf numFmtId="1" fontId="72" fillId="35" borderId="0" xfId="126" applyNumberFormat="1" applyFont="1" applyFill="1" applyBorder="1"/>
    <xf numFmtId="0" fontId="123"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8" fillId="38" borderId="0" xfId="0" applyFont="1" applyFill="1" applyBorder="1" applyAlignment="1">
      <alignment horizontal="left"/>
    </xf>
    <xf numFmtId="0" fontId="128" fillId="38" borderId="0" xfId="0" applyFont="1" applyFill="1" applyBorder="1" applyAlignment="1">
      <alignment horizontal="right"/>
    </xf>
    <xf numFmtId="0" fontId="128" fillId="38" borderId="0" xfId="0" applyFont="1" applyFill="1" applyBorder="1"/>
    <xf numFmtId="0" fontId="78" fillId="35" borderId="0" xfId="0" applyFont="1" applyFill="1"/>
    <xf numFmtId="166" fontId="73" fillId="34" borderId="0" xfId="108" applyNumberFormat="1" applyFont="1" applyFill="1" applyBorder="1" applyAlignment="1">
      <alignment horizontal="right"/>
    </xf>
    <xf numFmtId="166" fontId="72" fillId="34" borderId="0" xfId="108" applyNumberFormat="1" applyFont="1" applyFill="1" applyBorder="1" applyAlignment="1">
      <alignment horizontal="right"/>
    </xf>
    <xf numFmtId="166" fontId="72" fillId="35" borderId="17" xfId="108" applyNumberFormat="1" applyFont="1" applyFill="1" applyBorder="1" applyAlignment="1">
      <alignment horizontal="right"/>
    </xf>
    <xf numFmtId="166" fontId="73" fillId="35" borderId="17" xfId="108" applyNumberFormat="1" applyFont="1" applyFill="1" applyBorder="1" applyAlignment="1">
      <alignment horizontal="right"/>
    </xf>
    <xf numFmtId="1" fontId="73" fillId="35" borderId="0" xfId="0" applyNumberFormat="1" applyFont="1" applyFill="1" applyAlignment="1">
      <alignment horizontal="right"/>
    </xf>
    <xf numFmtId="1" fontId="72" fillId="35" borderId="0" xfId="0" applyNumberFormat="1" applyFont="1" applyFill="1" applyAlignment="1">
      <alignment horizontal="right"/>
    </xf>
    <xf numFmtId="3" fontId="73" fillId="35" borderId="0" xfId="133" applyNumberFormat="1" applyFont="1" applyFill="1" applyBorder="1" applyAlignment="1">
      <alignment horizontal="right"/>
    </xf>
    <xf numFmtId="3" fontId="72" fillId="35" borderId="0" xfId="133" applyNumberFormat="1" applyFont="1" applyFill="1" applyBorder="1" applyAlignment="1">
      <alignment horizontal="right"/>
    </xf>
    <xf numFmtId="0" fontId="73" fillId="35" borderId="0" xfId="123" applyFont="1" applyFill="1" applyBorder="1" applyAlignment="1">
      <alignment horizontal="left" wrapText="1"/>
    </xf>
    <xf numFmtId="0" fontId="71" fillId="35" borderId="0" xfId="123" applyNumberFormat="1" applyFont="1" applyFill="1" applyBorder="1" applyAlignment="1">
      <alignment horizontal="left"/>
    </xf>
    <xf numFmtId="0" fontId="72" fillId="35" borderId="0" xfId="123" applyFont="1" applyFill="1" applyBorder="1" applyAlignment="1">
      <alignment horizontal="left" wrapText="1"/>
    </xf>
    <xf numFmtId="0" fontId="71" fillId="36" borderId="0" xfId="123" applyNumberFormat="1" applyFont="1" applyFill="1" applyBorder="1" applyAlignment="1">
      <alignment horizontal="left"/>
    </xf>
    <xf numFmtId="0" fontId="123" fillId="36" borderId="0" xfId="97" applyNumberFormat="1" applyFont="1" applyFill="1" applyBorder="1" applyAlignment="1">
      <alignment horizontal="left"/>
    </xf>
    <xf numFmtId="0" fontId="123" fillId="35" borderId="0" xfId="97" applyFont="1" applyFill="1" applyBorder="1" applyAlignment="1">
      <alignment wrapText="1"/>
    </xf>
    <xf numFmtId="166" fontId="72" fillId="35" borderId="0" xfId="118" applyNumberFormat="1" applyFont="1" applyFill="1" applyAlignment="1">
      <alignment horizontal="right"/>
    </xf>
    <xf numFmtId="166" fontId="73" fillId="35" borderId="0" xfId="118" applyNumberFormat="1" applyFont="1" applyFill="1" applyAlignment="1">
      <alignment horizontal="right"/>
    </xf>
    <xf numFmtId="4" fontId="73" fillId="35" borderId="0" xfId="118" applyNumberFormat="1" applyFont="1" applyFill="1" applyAlignment="1">
      <alignment horizontal="right"/>
    </xf>
    <xf numFmtId="0" fontId="5" fillId="37" borderId="0" xfId="102" applyFont="1" applyFill="1" applyBorder="1" applyAlignment="1">
      <alignment vertical="top"/>
    </xf>
    <xf numFmtId="2" fontId="71" fillId="0" borderId="0" xfId="0" applyNumberFormat="1" applyFont="1" applyAlignment="1">
      <alignment horizontal="right" wrapText="1"/>
    </xf>
    <xf numFmtId="0" fontId="74" fillId="35" borderId="13" xfId="0" applyFont="1" applyFill="1" applyBorder="1" applyAlignment="1"/>
    <xf numFmtId="1" fontId="71" fillId="35" borderId="0" xfId="0" applyNumberFormat="1" applyFont="1" applyFill="1"/>
    <xf numFmtId="1" fontId="73" fillId="35" borderId="0" xfId="118" applyNumberFormat="1" applyFont="1" applyFill="1" applyBorder="1" applyAlignment="1">
      <alignment horizontal="right"/>
    </xf>
    <xf numFmtId="1" fontId="71" fillId="35" borderId="0" xfId="0" applyNumberFormat="1" applyFont="1" applyFill="1" applyBorder="1"/>
    <xf numFmtId="3" fontId="73" fillId="35" borderId="0" xfId="131" applyNumberFormat="1" applyFont="1" applyFill="1" applyBorder="1" applyAlignment="1">
      <alignment horizontal="right"/>
    </xf>
    <xf numFmtId="3" fontId="72" fillId="35" borderId="0" xfId="131" applyNumberFormat="1" applyFont="1" applyFill="1" applyBorder="1" applyAlignment="1">
      <alignment horizontal="right"/>
    </xf>
    <xf numFmtId="3" fontId="73" fillId="35" borderId="17" xfId="131" applyNumberFormat="1" applyFont="1" applyFill="1" applyBorder="1" applyAlignment="1">
      <alignment horizontal="right"/>
    </xf>
    <xf numFmtId="3" fontId="72" fillId="35" borderId="17" xfId="131" applyNumberFormat="1" applyFont="1" applyFill="1" applyBorder="1" applyAlignment="1">
      <alignment horizontal="right"/>
    </xf>
    <xf numFmtId="3" fontId="73" fillId="35" borderId="0" xfId="108" applyNumberFormat="1" applyFont="1" applyFill="1" applyBorder="1" applyAlignment="1">
      <alignment horizontal="right"/>
    </xf>
    <xf numFmtId="3" fontId="72" fillId="35" borderId="0" xfId="108" applyNumberFormat="1" applyFont="1" applyFill="1" applyBorder="1" applyAlignment="1">
      <alignment horizontal="right"/>
    </xf>
    <xf numFmtId="3" fontId="73" fillId="34" borderId="0" xfId="131" applyNumberFormat="1" applyFont="1" applyFill="1" applyBorder="1"/>
    <xf numFmtId="2" fontId="73" fillId="35" borderId="0" xfId="0" applyNumberFormat="1" applyFont="1" applyFill="1" applyAlignment="1">
      <alignment horizontal="right" wrapText="1"/>
    </xf>
    <xf numFmtId="2" fontId="73" fillId="35" borderId="0" xfId="0" applyNumberFormat="1" applyFont="1" applyFill="1" applyAlignment="1">
      <alignment horizontal="right"/>
    </xf>
    <xf numFmtId="0" fontId="73" fillId="35" borderId="0" xfId="0" applyFont="1" applyFill="1" applyAlignment="1">
      <alignment horizontal="center" wrapText="1"/>
    </xf>
    <xf numFmtId="164" fontId="72" fillId="35" borderId="16" xfId="102" applyNumberFormat="1" applyFont="1" applyFill="1" applyBorder="1"/>
    <xf numFmtId="0" fontId="69" fillId="35" borderId="0" xfId="0" applyFont="1" applyFill="1" applyBorder="1"/>
    <xf numFmtId="0" fontId="87" fillId="35" borderId="0" xfId="0" applyFont="1" applyFill="1" applyBorder="1"/>
    <xf numFmtId="0" fontId="87" fillId="35" borderId="0" xfId="0" applyFont="1" applyFill="1"/>
    <xf numFmtId="0" fontId="69" fillId="35" borderId="0" xfId="0" applyFont="1" applyFill="1"/>
    <xf numFmtId="0" fontId="1" fillId="35" borderId="0" xfId="0" applyFont="1" applyFill="1" applyBorder="1" applyAlignment="1">
      <alignment vertical="center"/>
    </xf>
    <xf numFmtId="170" fontId="72" fillId="35" borderId="0" xfId="165" applyNumberFormat="1" applyFont="1" applyFill="1" applyBorder="1"/>
    <xf numFmtId="0" fontId="129" fillId="35" borderId="0" xfId="0" applyFont="1" applyFill="1"/>
    <xf numFmtId="1" fontId="73" fillId="34" borderId="0" xfId="131" applyNumberFormat="1" applyFont="1" applyFill="1" applyBorder="1" applyAlignment="1">
      <alignment horizontal="right"/>
    </xf>
    <xf numFmtId="0" fontId="70" fillId="35" borderId="0" xfId="0" applyFont="1" applyFill="1"/>
    <xf numFmtId="171" fontId="69" fillId="35" borderId="0" xfId="0" applyNumberFormat="1" applyFont="1" applyFill="1"/>
    <xf numFmtId="171" fontId="71" fillId="35" borderId="13" xfId="0" applyNumberFormat="1" applyFont="1" applyFill="1" applyBorder="1"/>
    <xf numFmtId="1" fontId="0" fillId="35" borderId="0" xfId="0" applyNumberFormat="1" applyFill="1"/>
    <xf numFmtId="171" fontId="71" fillId="35" borderId="0" xfId="0" applyNumberFormat="1" applyFont="1" applyFill="1"/>
    <xf numFmtId="171" fontId="0" fillId="35" borderId="0" xfId="0" applyNumberFormat="1" applyFill="1"/>
    <xf numFmtId="0" fontId="77" fillId="35" borderId="0" xfId="0" applyFont="1" applyFill="1" applyAlignment="1">
      <alignment horizontal="right"/>
    </xf>
    <xf numFmtId="0" fontId="71" fillId="35" borderId="0" xfId="0" applyFont="1" applyFill="1" applyAlignment="1">
      <alignment horizontal="right"/>
    </xf>
    <xf numFmtId="164" fontId="73" fillId="35" borderId="14" xfId="131" applyNumberFormat="1" applyFont="1" applyFill="1" applyBorder="1" applyAlignment="1">
      <alignment horizontal="right"/>
    </xf>
    <xf numFmtId="1" fontId="69" fillId="35" borderId="0" xfId="0" applyNumberFormat="1" applyFont="1" applyFill="1"/>
    <xf numFmtId="0" fontId="43" fillId="35" borderId="0" xfId="0" applyFont="1" applyFill="1" applyBorder="1" applyAlignment="1">
      <alignment horizontal="right" vertical="top"/>
    </xf>
    <xf numFmtId="0" fontId="132" fillId="35" borderId="0" xfId="0" applyFont="1" applyFill="1" applyBorder="1" applyAlignment="1">
      <alignment horizontal="center"/>
    </xf>
    <xf numFmtId="3" fontId="43" fillId="35" borderId="0" xfId="0" applyNumberFormat="1" applyFont="1" applyFill="1" applyBorder="1" applyAlignment="1">
      <alignment horizontal="right" vertical="top"/>
    </xf>
    <xf numFmtId="166" fontId="130" fillId="35" borderId="0" xfId="0" applyNumberFormat="1" applyFont="1" applyFill="1" applyBorder="1" applyAlignment="1">
      <alignment horizontal="center"/>
    </xf>
    <xf numFmtId="0" fontId="131" fillId="35" borderId="0" xfId="0" applyFont="1" applyFill="1" applyBorder="1" applyAlignment="1">
      <alignment horizontal="right" vertical="top"/>
    </xf>
    <xf numFmtId="3" fontId="131" fillId="35" borderId="0" xfId="0" applyNumberFormat="1" applyFont="1" applyFill="1" applyBorder="1" applyAlignment="1">
      <alignment horizontal="right" vertical="top"/>
    </xf>
    <xf numFmtId="0" fontId="131" fillId="35" borderId="0" xfId="0" applyFont="1" applyFill="1" applyBorder="1" applyAlignment="1">
      <alignment horizontal="right" vertical="top" wrapText="1"/>
    </xf>
    <xf numFmtId="0" fontId="132" fillId="35" borderId="0" xfId="0" applyFont="1" applyFill="1" applyBorder="1"/>
    <xf numFmtId="2" fontId="131" fillId="35" borderId="0" xfId="0" applyNumberFormat="1" applyFont="1" applyFill="1" applyBorder="1" applyAlignment="1">
      <alignment horizontal="right" vertical="top"/>
    </xf>
    <xf numFmtId="2" fontId="130" fillId="35" borderId="0" xfId="0" applyNumberFormat="1" applyFont="1" applyFill="1" applyBorder="1" applyAlignment="1">
      <alignment horizontal="center"/>
    </xf>
    <xf numFmtId="166" fontId="133" fillId="35" borderId="0" xfId="0" applyNumberFormat="1" applyFont="1" applyFill="1" applyBorder="1" applyAlignment="1">
      <alignment horizontal="center"/>
    </xf>
    <xf numFmtId="0" fontId="134" fillId="35" borderId="0" xfId="0" applyFont="1" applyFill="1" applyBorder="1" applyAlignment="1">
      <alignment horizontal="center"/>
    </xf>
    <xf numFmtId="166" fontId="71" fillId="35" borderId="0" xfId="0" applyNumberFormat="1" applyFont="1" applyFill="1"/>
    <xf numFmtId="0" fontId="73" fillId="35" borderId="0" xfId="115" applyFont="1" applyFill="1" applyProtection="1">
      <protection locked="0"/>
    </xf>
    <xf numFmtId="0" fontId="79" fillId="35" borderId="0" xfId="0" applyFont="1" applyFill="1"/>
    <xf numFmtId="0" fontId="73" fillId="39" borderId="14" xfId="126" applyNumberFormat="1" applyFont="1" applyFill="1" applyBorder="1" applyAlignment="1"/>
    <xf numFmtId="1" fontId="73" fillId="39" borderId="14" xfId="120" applyNumberFormat="1" applyFont="1" applyFill="1" applyBorder="1" applyAlignment="1"/>
    <xf numFmtId="0" fontId="73" fillId="39" borderId="0" xfId="126" applyNumberFormat="1" applyFont="1" applyFill="1" applyBorder="1" applyAlignment="1"/>
    <xf numFmtId="1" fontId="73" fillId="39" borderId="0" xfId="120" applyNumberFormat="1" applyFont="1" applyFill="1" applyBorder="1" applyAlignment="1"/>
    <xf numFmtId="0" fontId="72" fillId="40" borderId="0" xfId="126" applyFont="1" applyFill="1" applyBorder="1"/>
    <xf numFmtId="1" fontId="72" fillId="40" borderId="0" xfId="120" applyNumberFormat="1" applyFont="1" applyFill="1"/>
    <xf numFmtId="0" fontId="72" fillId="40" borderId="14" xfId="102" applyFont="1" applyFill="1" applyBorder="1"/>
    <xf numFmtId="1" fontId="72" fillId="40" borderId="14" xfId="102" applyNumberFormat="1" applyFont="1" applyFill="1" applyBorder="1"/>
    <xf numFmtId="0" fontId="72" fillId="40" borderId="0" xfId="126" applyFont="1" applyFill="1" applyBorder="1" applyAlignment="1"/>
    <xf numFmtId="0" fontId="72" fillId="40" borderId="0" xfId="125" applyFont="1" applyFill="1" applyBorder="1" applyAlignment="1">
      <alignment horizontal="left"/>
    </xf>
    <xf numFmtId="1" fontId="73" fillId="40" borderId="0" xfId="125" applyNumberFormat="1" applyFont="1" applyFill="1" applyBorder="1" applyAlignment="1">
      <alignment horizontal="right"/>
    </xf>
    <xf numFmtId="3" fontId="72" fillId="40" borderId="0" xfId="125" applyNumberFormat="1" applyFont="1" applyFill="1" applyBorder="1" applyAlignment="1">
      <alignment horizontal="right"/>
    </xf>
    <xf numFmtId="0" fontId="77"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7" fillId="39" borderId="0" xfId="123" applyNumberFormat="1" applyFont="1" applyFill="1" applyBorder="1" applyAlignment="1">
      <alignment horizontal="right"/>
    </xf>
    <xf numFmtId="0" fontId="72" fillId="39" borderId="0" xfId="123" applyNumberFormat="1" applyFont="1" applyFill="1" applyBorder="1" applyAlignment="1">
      <alignment horizontal="left"/>
    </xf>
    <xf numFmtId="3" fontId="73" fillId="39" borderId="0" xfId="123" applyNumberFormat="1" applyFont="1" applyFill="1" applyBorder="1" applyAlignment="1">
      <alignment horizontal="right"/>
    </xf>
    <xf numFmtId="3" fontId="72" fillId="39" borderId="0" xfId="123" applyNumberFormat="1" applyFont="1" applyFill="1" applyBorder="1" applyAlignment="1">
      <alignment horizontal="right"/>
    </xf>
    <xf numFmtId="1" fontId="72" fillId="39" borderId="0" xfId="123" applyNumberFormat="1" applyFont="1" applyFill="1" applyBorder="1" applyAlignment="1">
      <alignment horizontal="left"/>
    </xf>
    <xf numFmtId="1" fontId="73" fillId="39" borderId="0" xfId="123" applyNumberFormat="1" applyFont="1" applyFill="1" applyBorder="1" applyAlignment="1">
      <alignment horizontal="right"/>
    </xf>
    <xf numFmtId="1" fontId="72" fillId="39" borderId="0" xfId="123" applyNumberFormat="1" applyFont="1" applyFill="1" applyBorder="1" applyAlignment="1">
      <alignment horizontal="right"/>
    </xf>
    <xf numFmtId="1" fontId="72" fillId="40" borderId="0" xfId="102" applyNumberFormat="1" applyFont="1" applyFill="1" applyBorder="1" applyAlignment="1">
      <alignment horizontal="left"/>
    </xf>
    <xf numFmtId="164" fontId="73" fillId="40" borderId="0" xfId="102" applyNumberFormat="1" applyFont="1" applyFill="1" applyBorder="1"/>
    <xf numFmtId="164" fontId="72" fillId="40" borderId="0" xfId="102" applyNumberFormat="1" applyFont="1" applyFill="1" applyBorder="1"/>
    <xf numFmtId="164" fontId="73" fillId="40" borderId="22" xfId="102" applyNumberFormat="1" applyFont="1" applyFill="1" applyBorder="1"/>
    <xf numFmtId="1" fontId="77" fillId="40" borderId="17" xfId="0" applyNumberFormat="1" applyFont="1" applyFill="1" applyBorder="1" applyAlignment="1">
      <alignment horizontal="left"/>
    </xf>
    <xf numFmtId="164" fontId="71" fillId="40" borderId="17" xfId="0" applyNumberFormat="1" applyFont="1" applyFill="1" applyBorder="1" applyAlignment="1">
      <alignment horizontal="right"/>
    </xf>
    <xf numFmtId="164" fontId="71" fillId="40" borderId="0" xfId="0" applyNumberFormat="1" applyFont="1" applyFill="1" applyBorder="1" applyAlignment="1">
      <alignment horizontal="right"/>
    </xf>
    <xf numFmtId="164" fontId="77" fillId="40" borderId="16" xfId="0" applyNumberFormat="1" applyFont="1" applyFill="1" applyBorder="1" applyAlignment="1">
      <alignment horizontal="right"/>
    </xf>
    <xf numFmtId="164" fontId="77" fillId="40" borderId="0" xfId="0" applyNumberFormat="1" applyFont="1" applyFill="1" applyBorder="1" applyAlignment="1">
      <alignment horizontal="right"/>
    </xf>
    <xf numFmtId="1" fontId="77" fillId="40" borderId="0" xfId="0" applyNumberFormat="1" applyFont="1" applyFill="1" applyBorder="1" applyAlignment="1">
      <alignment horizontal="left"/>
    </xf>
    <xf numFmtId="164" fontId="72" fillId="40" borderId="16" xfId="102" applyNumberFormat="1" applyFont="1" applyFill="1" applyBorder="1"/>
    <xf numFmtId="1" fontId="73" fillId="40" borderId="0" xfId="102" applyNumberFormat="1" applyFont="1" applyFill="1" applyBorder="1"/>
    <xf numFmtId="1" fontId="72" fillId="40" borderId="0" xfId="102" applyNumberFormat="1" applyFont="1" applyFill="1" applyBorder="1"/>
    <xf numFmtId="1" fontId="71" fillId="40" borderId="0" xfId="0" applyNumberFormat="1" applyFont="1" applyFill="1" applyBorder="1" applyAlignment="1">
      <alignment horizontal="right"/>
    </xf>
    <xf numFmtId="1" fontId="77" fillId="40" borderId="0" xfId="0" applyNumberFormat="1" applyFont="1" applyFill="1" applyBorder="1" applyAlignment="1">
      <alignment horizontal="right"/>
    </xf>
    <xf numFmtId="0" fontId="72" fillId="40" borderId="0" xfId="128" applyFont="1" applyFill="1" applyBorder="1" applyAlignment="1">
      <alignment horizontal="left"/>
    </xf>
    <xf numFmtId="164" fontId="73" fillId="40" borderId="0" xfId="128" applyNumberFormat="1" applyFont="1" applyFill="1" applyBorder="1"/>
    <xf numFmtId="164" fontId="73" fillId="40" borderId="0" xfId="128" applyNumberFormat="1" applyFont="1" applyFill="1" applyBorder="1" applyAlignment="1">
      <alignment horizontal="right"/>
    </xf>
    <xf numFmtId="1" fontId="72" fillId="40" borderId="0" xfId="128" applyNumberFormat="1" applyFont="1" applyFill="1" applyBorder="1"/>
    <xf numFmtId="0" fontId="4" fillId="41" borderId="0" xfId="128" applyFont="1" applyFill="1" applyBorder="1" applyAlignment="1">
      <alignment horizontal="left"/>
    </xf>
    <xf numFmtId="164" fontId="5" fillId="41" borderId="0" xfId="128" applyNumberFormat="1" applyFont="1" applyFill="1" applyBorder="1"/>
    <xf numFmtId="164" fontId="4" fillId="41" borderId="0" xfId="128" applyNumberFormat="1" applyFont="1" applyFill="1" applyBorder="1"/>
    <xf numFmtId="0" fontId="4" fillId="41" borderId="0" xfId="101" applyFont="1" applyFill="1" applyBorder="1" applyAlignment="1">
      <alignment horizontal="left"/>
    </xf>
    <xf numFmtId="164" fontId="5" fillId="41" borderId="0" xfId="101" applyNumberFormat="1" applyFont="1" applyFill="1" applyBorder="1" applyAlignment="1">
      <alignment horizontal="right"/>
    </xf>
    <xf numFmtId="164" fontId="4" fillId="41" borderId="0" xfId="101" applyNumberFormat="1" applyFont="1" applyFill="1" applyBorder="1" applyAlignment="1">
      <alignment horizontal="right"/>
    </xf>
    <xf numFmtId="1" fontId="4" fillId="41" borderId="0" xfId="128" applyNumberFormat="1" applyFont="1" applyFill="1" applyBorder="1" applyAlignment="1">
      <alignment horizontal="left"/>
    </xf>
    <xf numFmtId="164" fontId="5" fillId="41" borderId="0" xfId="128" applyNumberFormat="1" applyFont="1" applyFill="1" applyBorder="1" applyAlignment="1">
      <alignment horizontal="right"/>
    </xf>
    <xf numFmtId="164" fontId="4" fillId="41" borderId="0" xfId="128" applyNumberFormat="1" applyFont="1" applyFill="1" applyBorder="1" applyAlignment="1">
      <alignment horizontal="right"/>
    </xf>
    <xf numFmtId="2" fontId="73" fillId="40" borderId="0" xfId="128" applyNumberFormat="1" applyFont="1" applyFill="1" applyBorder="1" applyAlignment="1">
      <alignment horizontal="right" wrapText="1"/>
    </xf>
    <xf numFmtId="2" fontId="5" fillId="41" borderId="0" xfId="128" applyNumberFormat="1" applyFont="1" applyFill="1" applyBorder="1" applyAlignment="1">
      <alignment horizontal="right" wrapText="1"/>
    </xf>
    <xf numFmtId="0" fontId="4" fillId="41" borderId="0" xfId="0" applyFont="1" applyFill="1" applyBorder="1" applyAlignment="1">
      <alignment horizontal="left"/>
    </xf>
    <xf numFmtId="1" fontId="5" fillId="41" borderId="0" xfId="0" applyNumberFormat="1" applyFont="1" applyFill="1" applyBorder="1" applyAlignment="1">
      <alignment horizontal="right"/>
    </xf>
    <xf numFmtId="0" fontId="72" fillId="40" borderId="0" xfId="129" applyFont="1" applyFill="1" applyBorder="1" applyAlignment="1">
      <alignment horizontal="left"/>
    </xf>
    <xf numFmtId="164" fontId="73" fillId="40" borderId="0" xfId="129" applyNumberFormat="1" applyFont="1" applyFill="1" applyBorder="1" applyAlignment="1">
      <alignment horizontal="right"/>
    </xf>
    <xf numFmtId="164" fontId="72" fillId="40" borderId="0" xfId="129" applyNumberFormat="1" applyFont="1" applyFill="1" applyBorder="1" applyAlignment="1">
      <alignment horizontal="right"/>
    </xf>
    <xf numFmtId="1" fontId="42" fillId="40" borderId="0" xfId="130" applyNumberFormat="1" applyFont="1" applyFill="1" applyBorder="1" applyAlignment="1">
      <alignment horizontal="left"/>
    </xf>
    <xf numFmtId="164" fontId="41" fillId="40" borderId="0" xfId="130" applyNumberFormat="1" applyFont="1" applyFill="1" applyBorder="1" applyAlignment="1">
      <alignment horizontal="right"/>
    </xf>
    <xf numFmtId="164" fontId="42" fillId="40" borderId="0" xfId="130" applyNumberFormat="1" applyFont="1" applyFill="1" applyBorder="1" applyAlignment="1">
      <alignment horizontal="right"/>
    </xf>
    <xf numFmtId="0" fontId="72" fillId="40" borderId="0" xfId="130" applyFont="1" applyFill="1" applyBorder="1" applyAlignment="1">
      <alignment horizontal="left"/>
    </xf>
    <xf numFmtId="3" fontId="73" fillId="40" borderId="0" xfId="130" applyNumberFormat="1" applyFont="1" applyFill="1" applyBorder="1" applyAlignment="1">
      <alignment horizontal="right"/>
    </xf>
    <xf numFmtId="3" fontId="72" fillId="40" borderId="0" xfId="130" applyNumberFormat="1" applyFont="1" applyFill="1" applyBorder="1" applyAlignment="1">
      <alignment horizontal="right"/>
    </xf>
    <xf numFmtId="0" fontId="72" fillId="40" borderId="0" xfId="0" applyFont="1" applyFill="1" applyAlignment="1">
      <alignment horizontal="left"/>
    </xf>
    <xf numFmtId="0" fontId="72" fillId="40" borderId="0" xfId="118" applyFont="1" applyFill="1" applyAlignment="1">
      <alignment horizontal="left"/>
    </xf>
    <xf numFmtId="3" fontId="73" fillId="40" borderId="0" xfId="118" applyNumberFormat="1" applyFont="1" applyFill="1" applyAlignment="1">
      <alignment horizontal="right"/>
    </xf>
    <xf numFmtId="3" fontId="72" fillId="40" borderId="0" xfId="118" applyNumberFormat="1" applyFont="1" applyFill="1" applyAlignment="1">
      <alignment horizontal="right"/>
    </xf>
    <xf numFmtId="164" fontId="73" fillId="40" borderId="0" xfId="131" applyNumberFormat="1" applyFont="1" applyFill="1" applyBorder="1" applyAlignment="1">
      <alignment horizontal="right"/>
    </xf>
    <xf numFmtId="0" fontId="71" fillId="35" borderId="0" xfId="0" applyFont="1" applyFill="1" applyAlignment="1"/>
    <xf numFmtId="164" fontId="73" fillId="40" borderId="14" xfId="131" applyNumberFormat="1" applyFont="1" applyFill="1" applyBorder="1" applyAlignment="1">
      <alignment horizontal="right"/>
    </xf>
    <xf numFmtId="1" fontId="73" fillId="40" borderId="0" xfId="131" applyNumberFormat="1" applyFont="1" applyFill="1" applyBorder="1" applyAlignment="1">
      <alignment horizontal="right"/>
    </xf>
    <xf numFmtId="0" fontId="72" fillId="40" borderId="0" xfId="131" applyFont="1" applyFill="1" applyBorder="1" applyAlignment="1">
      <alignment horizontal="left"/>
    </xf>
    <xf numFmtId="0" fontId="73" fillId="40" borderId="0" xfId="131" applyFont="1" applyFill="1" applyBorder="1" applyAlignment="1">
      <alignment horizontal="right"/>
    </xf>
    <xf numFmtId="164" fontId="72" fillId="40" borderId="0" xfId="131" applyNumberFormat="1" applyFont="1" applyFill="1" applyBorder="1" applyAlignment="1">
      <alignment horizontal="right"/>
    </xf>
    <xf numFmtId="0" fontId="72" fillId="40" borderId="0" xfId="131" applyFont="1" applyFill="1" applyBorder="1" applyAlignment="1">
      <alignment horizontal="right"/>
    </xf>
    <xf numFmtId="168" fontId="72" fillId="40" borderId="0" xfId="131" applyNumberFormat="1" applyFont="1" applyFill="1" applyBorder="1" applyAlignment="1">
      <alignment horizontal="left"/>
    </xf>
    <xf numFmtId="3" fontId="73" fillId="40" borderId="0" xfId="131" applyNumberFormat="1" applyFont="1" applyFill="1" applyBorder="1" applyAlignment="1">
      <alignment horizontal="right"/>
    </xf>
    <xf numFmtId="3" fontId="72" fillId="40" borderId="0" xfId="131" applyNumberFormat="1" applyFont="1" applyFill="1" applyBorder="1" applyAlignment="1">
      <alignment horizontal="right"/>
    </xf>
    <xf numFmtId="1" fontId="72" fillId="40" borderId="0" xfId="131" applyNumberFormat="1" applyFont="1" applyFill="1" applyBorder="1" applyAlignment="1">
      <alignment horizontal="left"/>
    </xf>
    <xf numFmtId="1" fontId="72" fillId="40" borderId="0" xfId="131" applyNumberFormat="1" applyFont="1" applyFill="1" applyBorder="1" applyAlignment="1">
      <alignment horizontal="right"/>
    </xf>
    <xf numFmtId="0" fontId="72" fillId="40" borderId="0" xfId="135" applyFont="1" applyFill="1" applyBorder="1" applyAlignment="1">
      <alignment horizontal="left"/>
    </xf>
    <xf numFmtId="3" fontId="73" fillId="40" borderId="0" xfId="135" applyNumberFormat="1" applyFont="1" applyFill="1" applyBorder="1" applyAlignment="1">
      <alignment horizontal="right"/>
    </xf>
    <xf numFmtId="3" fontId="72" fillId="40" borderId="0" xfId="135" applyNumberFormat="1" applyFont="1" applyFill="1" applyBorder="1" applyAlignment="1">
      <alignment horizontal="right"/>
    </xf>
    <xf numFmtId="164" fontId="73" fillId="40" borderId="0" xfId="135" applyNumberFormat="1" applyFont="1" applyFill="1" applyBorder="1" applyAlignment="1">
      <alignment horizontal="right"/>
    </xf>
    <xf numFmtId="0" fontId="120" fillId="40" borderId="0" xfId="115" applyFont="1" applyFill="1" applyBorder="1" applyAlignment="1">
      <alignment horizontal="left"/>
    </xf>
    <xf numFmtId="0" fontId="73" fillId="40" borderId="0" xfId="115" applyFont="1" applyFill="1" applyBorder="1" applyAlignment="1">
      <alignment horizontal="right"/>
    </xf>
    <xf numFmtId="0" fontId="73" fillId="40" borderId="0" xfId="115" applyFont="1" applyFill="1" applyAlignment="1">
      <alignment horizontal="right"/>
    </xf>
    <xf numFmtId="1" fontId="73" fillId="40" borderId="0" xfId="115" applyNumberFormat="1" applyFont="1" applyFill="1" applyAlignment="1">
      <alignment horizontal="right"/>
    </xf>
    <xf numFmtId="0" fontId="72" fillId="40" borderId="0" xfId="102" applyNumberFormat="1" applyFont="1" applyFill="1" applyAlignment="1">
      <alignment horizontal="left"/>
    </xf>
    <xf numFmtId="1" fontId="73" fillId="40" borderId="0" xfId="0" applyNumberFormat="1" applyFont="1" applyFill="1" applyAlignment="1">
      <alignment horizontal="right"/>
    </xf>
    <xf numFmtId="1" fontId="72" fillId="40" borderId="0" xfId="0" applyNumberFormat="1" applyFont="1" applyFill="1" applyAlignment="1">
      <alignment horizontal="right"/>
    </xf>
    <xf numFmtId="0" fontId="72" fillId="40" borderId="0" xfId="119" applyFont="1" applyFill="1" applyBorder="1" applyAlignment="1">
      <alignment horizontal="left"/>
    </xf>
    <xf numFmtId="3" fontId="73" fillId="40" borderId="0" xfId="133" applyNumberFormat="1" applyFont="1" applyFill="1" applyBorder="1" applyAlignment="1">
      <alignment horizontal="right"/>
    </xf>
    <xf numFmtId="3" fontId="72" fillId="40" borderId="0" xfId="133" applyNumberFormat="1" applyFont="1" applyFill="1" applyBorder="1" applyAlignment="1">
      <alignment horizontal="right"/>
    </xf>
    <xf numFmtId="0" fontId="72" fillId="40" borderId="0" xfId="133" applyFont="1" applyFill="1" applyBorder="1" applyAlignment="1">
      <alignment horizontal="left"/>
    </xf>
    <xf numFmtId="164" fontId="73" fillId="40" borderId="0" xfId="133" applyNumberFormat="1" applyFont="1" applyFill="1" applyBorder="1" applyAlignment="1">
      <alignment horizontal="right"/>
    </xf>
    <xf numFmtId="164" fontId="72" fillId="40" borderId="0" xfId="133" applyNumberFormat="1" applyFont="1" applyFill="1" applyBorder="1" applyAlignment="1">
      <alignment horizontal="right"/>
    </xf>
    <xf numFmtId="166" fontId="73" fillId="40" borderId="0" xfId="133" applyNumberFormat="1" applyFont="1" applyFill="1" applyBorder="1" applyAlignment="1">
      <alignment horizontal="right"/>
    </xf>
    <xf numFmtId="166" fontId="72" fillId="40" borderId="0" xfId="133" applyNumberFormat="1" applyFont="1" applyFill="1" applyBorder="1" applyAlignment="1">
      <alignment horizontal="right"/>
    </xf>
    <xf numFmtId="1" fontId="73" fillId="40" borderId="0" xfId="133" applyNumberFormat="1" applyFont="1" applyFill="1" applyBorder="1" applyAlignment="1">
      <alignment horizontal="right"/>
    </xf>
    <xf numFmtId="164" fontId="73" fillId="40" borderId="0" xfId="0" applyNumberFormat="1" applyFont="1" applyFill="1" applyAlignment="1">
      <alignment horizontal="right"/>
    </xf>
    <xf numFmtId="164" fontId="72" fillId="40" borderId="0" xfId="0" applyNumberFormat="1" applyFont="1" applyFill="1" applyAlignment="1">
      <alignment horizontal="right"/>
    </xf>
    <xf numFmtId="0" fontId="72" fillId="40" borderId="0" xfId="132" applyFont="1" applyFill="1" applyBorder="1" applyAlignment="1">
      <alignment horizontal="left"/>
    </xf>
    <xf numFmtId="164" fontId="73" fillId="40" borderId="0" xfId="132" applyNumberFormat="1" applyFont="1" applyFill="1" applyBorder="1" applyAlignment="1">
      <alignment horizontal="right"/>
    </xf>
    <xf numFmtId="0" fontId="72" fillId="40" borderId="0" xfId="108" applyFont="1" applyFill="1" applyBorder="1" applyAlignment="1">
      <alignment horizontal="left"/>
    </xf>
    <xf numFmtId="166" fontId="73" fillId="40" borderId="0" xfId="108" applyNumberFormat="1" applyFont="1" applyFill="1" applyBorder="1" applyAlignment="1">
      <alignment horizontal="right"/>
    </xf>
    <xf numFmtId="166" fontId="72" fillId="40" borderId="0" xfId="108" applyNumberFormat="1" applyFont="1" applyFill="1" applyBorder="1" applyAlignment="1">
      <alignment horizontal="right"/>
    </xf>
    <xf numFmtId="0" fontId="72" fillId="40" borderId="0" xfId="134" applyFont="1" applyFill="1" applyBorder="1" applyAlignment="1">
      <alignment horizontal="left"/>
    </xf>
    <xf numFmtId="1" fontId="73" fillId="40" borderId="0" xfId="134" applyNumberFormat="1" applyFont="1" applyFill="1" applyBorder="1" applyAlignment="1">
      <alignment horizontal="right"/>
    </xf>
    <xf numFmtId="0" fontId="4" fillId="41" borderId="0" xfId="166" applyFont="1" applyFill="1" applyBorder="1" applyAlignment="1">
      <alignment horizontal="left"/>
    </xf>
    <xf numFmtId="3" fontId="5" fillId="41" borderId="0" xfId="166" applyNumberFormat="1" applyFont="1" applyFill="1" applyBorder="1" applyAlignment="1">
      <alignment horizontal="right"/>
    </xf>
    <xf numFmtId="3" fontId="4" fillId="41" borderId="0" xfId="166" applyNumberFormat="1" applyFont="1" applyFill="1" applyBorder="1" applyAlignment="1">
      <alignment horizontal="right"/>
    </xf>
    <xf numFmtId="0" fontId="72" fillId="40" borderId="14" xfId="102" applyFont="1" applyFill="1" applyBorder="1" applyAlignment="1">
      <alignment horizontal="left"/>
    </xf>
    <xf numFmtId="1" fontId="73" fillId="40" borderId="14" xfId="102" applyNumberFormat="1" applyFont="1" applyFill="1" applyBorder="1"/>
    <xf numFmtId="0" fontId="72" fillId="40" borderId="0" xfId="102" applyFont="1" applyFill="1" applyBorder="1" applyAlignment="1">
      <alignment horizontal="left"/>
    </xf>
    <xf numFmtId="0" fontId="73" fillId="40" borderId="0" xfId="118" applyFont="1" applyFill="1" applyAlignment="1">
      <alignment horizontal="left"/>
    </xf>
    <xf numFmtId="166" fontId="72" fillId="40" borderId="0" xfId="118" applyNumberFormat="1" applyFont="1" applyFill="1" applyAlignment="1">
      <alignment horizontal="right"/>
    </xf>
    <xf numFmtId="4" fontId="72" fillId="40" borderId="0" xfId="118" applyNumberFormat="1" applyFont="1" applyFill="1" applyAlignment="1">
      <alignment horizontal="right"/>
    </xf>
    <xf numFmtId="4" fontId="73" fillId="40" borderId="0" xfId="118" applyNumberFormat="1" applyFont="1" applyFill="1" applyAlignment="1">
      <alignment horizontal="right"/>
    </xf>
    <xf numFmtId="166" fontId="73" fillId="40" borderId="0" xfId="118" applyNumberFormat="1" applyFont="1" applyFill="1" applyAlignment="1">
      <alignment horizontal="right"/>
    </xf>
    <xf numFmtId="0" fontId="4" fillId="37" borderId="21" xfId="166" applyFont="1" applyFill="1" applyBorder="1" applyAlignment="1">
      <alignment horizontal="right" wrapText="1"/>
    </xf>
    <xf numFmtId="3" fontId="5" fillId="41" borderId="22" xfId="166" applyNumberFormat="1" applyFont="1" applyFill="1" applyBorder="1" applyAlignment="1">
      <alignment horizontal="right"/>
    </xf>
    <xf numFmtId="3" fontId="5" fillId="37"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6" fontId="73" fillId="35" borderId="0" xfId="108" applyNumberFormat="1" applyFont="1" applyFill="1" applyBorder="1" applyAlignment="1">
      <alignment horizontal="right"/>
    </xf>
    <xf numFmtId="166" fontId="72" fillId="35" borderId="0" xfId="108" applyNumberFormat="1" applyFont="1" applyFill="1" applyBorder="1" applyAlignment="1">
      <alignment horizontal="right"/>
    </xf>
    <xf numFmtId="164" fontId="73" fillId="40" borderId="0" xfId="102" applyNumberFormat="1" applyFont="1" applyFill="1" applyAlignment="1">
      <alignment horizontal="right"/>
    </xf>
    <xf numFmtId="164" fontId="73" fillId="40" borderId="0" xfId="102" applyNumberFormat="1" applyFont="1" applyFill="1"/>
    <xf numFmtId="0" fontId="72" fillId="35" borderId="0" xfId="102" applyNumberFormat="1" applyFont="1" applyFill="1" applyBorder="1" applyAlignment="1">
      <alignment horizontal="left"/>
    </xf>
    <xf numFmtId="164" fontId="73" fillId="35" borderId="0" xfId="0" applyNumberFormat="1" applyFont="1" applyFill="1" applyBorder="1" applyAlignment="1">
      <alignment horizontal="right"/>
    </xf>
    <xf numFmtId="164" fontId="72" fillId="35" borderId="0" xfId="0" applyNumberFormat="1" applyFont="1" applyFill="1" applyBorder="1" applyAlignment="1">
      <alignment horizontal="right"/>
    </xf>
    <xf numFmtId="1" fontId="73" fillId="40" borderId="0" xfId="113" applyNumberFormat="1" applyFont="1" applyFill="1" applyBorder="1"/>
    <xf numFmtId="1" fontId="73" fillId="35" borderId="0" xfId="0" applyNumberFormat="1" applyFont="1" applyFill="1" applyBorder="1" applyAlignment="1">
      <alignment horizontal="right"/>
    </xf>
    <xf numFmtId="1" fontId="72" fillId="35" borderId="0" xfId="0" applyNumberFormat="1" applyFont="1" applyFill="1" applyBorder="1" applyAlignment="1">
      <alignment horizontal="right"/>
    </xf>
    <xf numFmtId="0" fontId="72" fillId="40" borderId="0" xfId="102" applyNumberFormat="1" applyFont="1" applyFill="1" applyBorder="1" applyAlignment="1">
      <alignment horizontal="left"/>
    </xf>
    <xf numFmtId="1" fontId="73" fillId="40" borderId="0" xfId="0" applyNumberFormat="1" applyFont="1" applyFill="1" applyBorder="1" applyAlignment="1">
      <alignment horizontal="right"/>
    </xf>
    <xf numFmtId="1" fontId="72" fillId="40" borderId="0" xfId="0" applyNumberFormat="1" applyFont="1" applyFill="1" applyBorder="1" applyAlignment="1">
      <alignment horizontal="right"/>
    </xf>
    <xf numFmtId="164" fontId="73" fillId="40" borderId="0" xfId="102" applyNumberFormat="1" applyFont="1" applyFill="1" applyBorder="1" applyAlignment="1">
      <alignment horizontal="right"/>
    </xf>
    <xf numFmtId="0" fontId="77" fillId="40" borderId="0" xfId="0" applyFont="1" applyFill="1" applyBorder="1"/>
    <xf numFmtId="2" fontId="71" fillId="40" borderId="0" xfId="0" applyNumberFormat="1" applyFont="1" applyFill="1" applyBorder="1"/>
    <xf numFmtId="2" fontId="77" fillId="40" borderId="0" xfId="0" applyNumberFormat="1" applyFont="1" applyFill="1" applyBorder="1"/>
    <xf numFmtId="3" fontId="73" fillId="40" borderId="0" xfId="102" applyNumberFormat="1" applyFont="1" applyFill="1" applyBorder="1" applyAlignment="1">
      <alignment horizontal="right"/>
    </xf>
    <xf numFmtId="3" fontId="72" fillId="40" borderId="0" xfId="102" applyNumberFormat="1" applyFont="1" applyFill="1" applyBorder="1" applyAlignment="1">
      <alignment horizontal="right"/>
    </xf>
    <xf numFmtId="170" fontId="72" fillId="40" borderId="0" xfId="165" applyNumberFormat="1" applyFont="1" applyFill="1" applyBorder="1"/>
    <xf numFmtId="2" fontId="71" fillId="40" borderId="0" xfId="0" applyNumberFormat="1" applyFont="1" applyFill="1"/>
    <xf numFmtId="0" fontId="72" fillId="40" borderId="0" xfId="118" applyFont="1" applyFill="1" applyBorder="1" applyAlignment="1">
      <alignment horizontal="left"/>
    </xf>
    <xf numFmtId="3" fontId="72" fillId="40" borderId="0" xfId="118" applyNumberFormat="1" applyFont="1" applyFill="1" applyBorder="1" applyAlignment="1">
      <alignment horizontal="right"/>
    </xf>
    <xf numFmtId="1" fontId="73" fillId="40" borderId="0" xfId="118" applyNumberFormat="1" applyFont="1" applyFill="1" applyBorder="1" applyAlignment="1">
      <alignment horizontal="right"/>
    </xf>
    <xf numFmtId="3" fontId="73" fillId="40" borderId="0" xfId="118" applyNumberFormat="1" applyFont="1" applyFill="1" applyBorder="1" applyAlignment="1">
      <alignment horizontal="right"/>
    </xf>
    <xf numFmtId="0" fontId="77" fillId="40" borderId="0" xfId="0" applyFont="1" applyFill="1"/>
    <xf numFmtId="1" fontId="71" fillId="40" borderId="0" xfId="0" applyNumberFormat="1" applyFont="1" applyFill="1"/>
    <xf numFmtId="0" fontId="71" fillId="40" borderId="0" xfId="0" applyFont="1" applyFill="1" applyBorder="1"/>
    <xf numFmtId="1" fontId="71" fillId="40" borderId="0" xfId="0" applyNumberFormat="1" applyFont="1" applyFill="1" applyBorder="1"/>
    <xf numFmtId="0" fontId="71" fillId="40" borderId="0" xfId="0" applyFont="1" applyFill="1"/>
    <xf numFmtId="1" fontId="77" fillId="40" borderId="0" xfId="0" applyNumberFormat="1" applyFont="1" applyFill="1"/>
    <xf numFmtId="164" fontId="71" fillId="40" borderId="0" xfId="0" applyNumberFormat="1" applyFont="1" applyFill="1"/>
    <xf numFmtId="3" fontId="71" fillId="40" borderId="0" xfId="0" applyNumberFormat="1" applyFont="1" applyFill="1"/>
    <xf numFmtId="3" fontId="73" fillId="40" borderId="0" xfId="101" applyNumberFormat="1" applyFont="1" applyFill="1" applyBorder="1"/>
    <xf numFmtId="3" fontId="72" fillId="40" borderId="0" xfId="101" applyNumberFormat="1" applyFont="1" applyFill="1" applyBorder="1"/>
    <xf numFmtId="164" fontId="73" fillId="40" borderId="0" xfId="130" applyNumberFormat="1" applyFont="1" applyFill="1" applyBorder="1" applyAlignment="1">
      <alignment horizontal="right"/>
    </xf>
    <xf numFmtId="164" fontId="72" fillId="40" borderId="0" xfId="130" applyNumberFormat="1" applyFont="1" applyFill="1" applyBorder="1" applyAlignment="1">
      <alignment horizontal="right"/>
    </xf>
    <xf numFmtId="164" fontId="73" fillId="40" borderId="0" xfId="101" applyNumberFormat="1" applyFont="1" applyFill="1" applyBorder="1" applyAlignment="1">
      <alignment horizontal="right"/>
    </xf>
    <xf numFmtId="164" fontId="73" fillId="40" borderId="0" xfId="101" applyNumberFormat="1" applyFont="1" applyFill="1" applyBorder="1"/>
    <xf numFmtId="164" fontId="72" fillId="40" borderId="0" xfId="101" applyNumberFormat="1" applyFont="1" applyFill="1" applyBorder="1"/>
    <xf numFmtId="1" fontId="4" fillId="40" borderId="0" xfId="130" applyNumberFormat="1" applyFont="1" applyFill="1" applyBorder="1" applyAlignment="1">
      <alignment horizontal="left"/>
    </xf>
    <xf numFmtId="164" fontId="5" fillId="40" borderId="0" xfId="101" applyNumberFormat="1" applyFont="1" applyFill="1" applyBorder="1"/>
    <xf numFmtId="164" fontId="5" fillId="40" borderId="0" xfId="101" applyNumberFormat="1" applyFont="1" applyFill="1" applyBorder="1" applyAlignment="1">
      <alignment horizontal="right"/>
    </xf>
    <xf numFmtId="164" fontId="4" fillId="40" borderId="0" xfId="101" applyNumberFormat="1" applyFont="1" applyFill="1" applyBorder="1"/>
    <xf numFmtId="0" fontId="72" fillId="40" borderId="0" xfId="0" applyFont="1" applyFill="1" applyBorder="1" applyAlignment="1">
      <alignment horizontal="left" wrapText="1"/>
    </xf>
    <xf numFmtId="2" fontId="73" fillId="40" borderId="0" xfId="0" applyNumberFormat="1" applyFont="1" applyFill="1" applyBorder="1" applyAlignment="1">
      <alignment horizontal="right" wrapText="1"/>
    </xf>
    <xf numFmtId="2" fontId="73" fillId="40" borderId="0" xfId="0" applyNumberFormat="1" applyFont="1" applyFill="1" applyAlignment="1">
      <alignment horizontal="right" wrapText="1"/>
    </xf>
    <xf numFmtId="2" fontId="73" fillId="40" borderId="0" xfId="0" applyNumberFormat="1" applyFont="1" applyFill="1" applyAlignment="1">
      <alignment horizontal="right"/>
    </xf>
    <xf numFmtId="2" fontId="73" fillId="40" borderId="0" xfId="0" applyNumberFormat="1" applyFont="1" applyFill="1"/>
    <xf numFmtId="0" fontId="72" fillId="40" borderId="17" xfId="0" applyFont="1" applyFill="1" applyBorder="1" applyAlignment="1">
      <alignment horizontal="left"/>
    </xf>
    <xf numFmtId="0" fontId="77" fillId="40" borderId="0" xfId="0" applyFont="1" applyFill="1" applyBorder="1" applyAlignment="1">
      <alignment horizontal="left" vertical="center"/>
    </xf>
    <xf numFmtId="1" fontId="73" fillId="40" borderId="0" xfId="117" applyNumberFormat="1" applyFont="1" applyFill="1" applyBorder="1" applyAlignment="1">
      <alignment vertical="center"/>
    </xf>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0" fontId="72" fillId="40" borderId="0" xfId="124" applyFont="1" applyFill="1" applyBorder="1" applyAlignment="1">
      <alignment horizontal="left"/>
    </xf>
    <xf numFmtId="164" fontId="73" fillId="40" borderId="0" xfId="124" applyNumberFormat="1" applyFont="1" applyFill="1" applyBorder="1" applyAlignment="1">
      <alignment horizontal="right"/>
    </xf>
    <xf numFmtId="164" fontId="72" fillId="40" borderId="0" xfId="124" applyNumberFormat="1" applyFont="1" applyFill="1" applyBorder="1" applyAlignment="1">
      <alignment horizontal="right"/>
    </xf>
    <xf numFmtId="0" fontId="72" fillId="40" borderId="0" xfId="127" applyFont="1" applyFill="1" applyBorder="1" applyAlignment="1">
      <alignment horizontal="left"/>
    </xf>
    <xf numFmtId="1" fontId="73" fillId="40" borderId="0" xfId="127" applyNumberFormat="1" applyFont="1" applyFill="1" applyBorder="1" applyAlignment="1">
      <alignment horizontal="right"/>
    </xf>
    <xf numFmtId="1" fontId="72" fillId="40" borderId="0" xfId="127" applyNumberFormat="1" applyFont="1" applyFill="1" applyBorder="1" applyAlignment="1">
      <alignment horizontal="right"/>
    </xf>
    <xf numFmtId="0" fontId="5" fillId="35" borderId="0" xfId="125" applyFont="1" applyFill="1"/>
    <xf numFmtId="164" fontId="73" fillId="35" borderId="0" xfId="119" applyNumberFormat="1" applyFont="1" applyFill="1" applyBorder="1" applyAlignment="1">
      <alignment horizontal="left"/>
    </xf>
    <xf numFmtId="164" fontId="73" fillId="35" borderId="0" xfId="119" applyNumberFormat="1" applyFont="1" applyFill="1" applyBorder="1" applyAlignment="1">
      <alignment horizontal="right"/>
    </xf>
    <xf numFmtId="1" fontId="73" fillId="35" borderId="0" xfId="119" applyNumberFormat="1" applyFont="1" applyFill="1" applyBorder="1" applyAlignment="1">
      <alignment horizontal="right"/>
    </xf>
    <xf numFmtId="3" fontId="72" fillId="35" borderId="0" xfId="119" applyNumberFormat="1" applyFont="1" applyFill="1" applyBorder="1" applyAlignment="1">
      <alignment horizontal="right"/>
    </xf>
    <xf numFmtId="166" fontId="72" fillId="35" borderId="0" xfId="119" applyNumberFormat="1" applyFont="1" applyFill="1" applyBorder="1" applyAlignment="1">
      <alignment horizontal="right"/>
    </xf>
    <xf numFmtId="0" fontId="123" fillId="35" borderId="0" xfId="97" applyFont="1" applyFill="1" applyBorder="1" applyAlignment="1">
      <alignment horizontal="left"/>
    </xf>
    <xf numFmtId="0" fontId="123" fillId="35" borderId="0" xfId="97" applyNumberFormat="1" applyFont="1" applyFill="1" applyBorder="1" applyAlignment="1">
      <alignment horizontal="left"/>
    </xf>
    <xf numFmtId="0" fontId="135" fillId="35" borderId="0" xfId="0" applyFont="1" applyFill="1" applyBorder="1"/>
    <xf numFmtId="0" fontId="136" fillId="0" borderId="0" xfId="97" applyFont="1" applyFill="1" applyBorder="1" applyAlignment="1">
      <alignment wrapText="1"/>
    </xf>
    <xf numFmtId="0" fontId="118" fillId="0" borderId="0" xfId="0" applyFont="1" applyFill="1" applyBorder="1" applyAlignment="1">
      <alignment wrapText="1"/>
    </xf>
    <xf numFmtId="0" fontId="123" fillId="0" borderId="0" xfId="97" applyFont="1" applyFill="1" applyBorder="1"/>
    <xf numFmtId="0" fontId="123" fillId="0" borderId="0" xfId="97" quotePrefix="1" applyFont="1" applyFill="1" applyBorder="1"/>
    <xf numFmtId="0" fontId="71" fillId="0" borderId="0" xfId="0" applyFont="1" applyFill="1" applyBorder="1"/>
    <xf numFmtId="0" fontId="123" fillId="0" borderId="0" xfId="97" quotePrefix="1" applyFont="1"/>
    <xf numFmtId="0" fontId="123" fillId="0" borderId="0" xfId="97" applyFont="1"/>
    <xf numFmtId="0" fontId="118" fillId="35" borderId="0" xfId="0" applyFont="1" applyFill="1" applyBorder="1" applyAlignment="1">
      <alignment wrapText="1"/>
    </xf>
    <xf numFmtId="0" fontId="123" fillId="35" borderId="0" xfId="97" applyFont="1" applyFill="1" applyBorder="1" applyAlignment="1">
      <alignment horizontal="left" wrapText="1"/>
    </xf>
    <xf numFmtId="170" fontId="72" fillId="40" borderId="0" xfId="131" applyNumberFormat="1" applyFont="1" applyFill="1" applyBorder="1" applyAlignment="1">
      <alignment horizontal="right"/>
    </xf>
    <xf numFmtId="170" fontId="72" fillId="34" borderId="0" xfId="131" applyNumberFormat="1" applyFont="1" applyFill="1" applyBorder="1" applyAlignment="1">
      <alignment horizontal="right"/>
    </xf>
    <xf numFmtId="170" fontId="72" fillId="40" borderId="14" xfId="131" applyNumberFormat="1" applyFont="1" applyFill="1" applyBorder="1" applyAlignment="1">
      <alignment horizontal="right"/>
    </xf>
    <xf numFmtId="3" fontId="73" fillId="40" borderId="0" xfId="102" applyNumberFormat="1" applyFont="1" applyFill="1" applyBorder="1"/>
    <xf numFmtId="3" fontId="72" fillId="40" borderId="0" xfId="102" applyNumberFormat="1" applyFont="1" applyFill="1" applyBorder="1"/>
    <xf numFmtId="3" fontId="72" fillId="35" borderId="0" xfId="102" applyNumberFormat="1" applyFont="1" applyFill="1" applyBorder="1"/>
    <xf numFmtId="49" fontId="72" fillId="40" borderId="0" xfId="131" applyNumberFormat="1" applyFont="1" applyFill="1" applyBorder="1" applyAlignment="1">
      <alignment horizontal="left"/>
    </xf>
    <xf numFmtId="49" fontId="72" fillId="34" borderId="0" xfId="131" applyNumberFormat="1" applyFont="1" applyFill="1" applyBorder="1" applyAlignment="1">
      <alignment horizontal="left"/>
    </xf>
    <xf numFmtId="1" fontId="72" fillId="40" borderId="0" xfId="165" applyNumberFormat="1" applyFont="1" applyFill="1" applyBorder="1" applyAlignment="1">
      <alignment horizontal="left"/>
    </xf>
    <xf numFmtId="1" fontId="72" fillId="0" borderId="0" xfId="165" applyNumberFormat="1" applyFont="1" applyBorder="1" applyAlignment="1">
      <alignment horizontal="left"/>
    </xf>
    <xf numFmtId="171" fontId="69" fillId="35" borderId="0" xfId="0" applyNumberFormat="1" applyFont="1" applyFill="1" applyBorder="1"/>
    <xf numFmtId="1" fontId="72" fillId="35" borderId="0" xfId="132" applyNumberFormat="1" applyFont="1" applyFill="1" applyBorder="1" applyAlignment="1">
      <alignment horizontal="left"/>
    </xf>
    <xf numFmtId="0" fontId="4" fillId="37" borderId="13" xfId="0" applyFont="1" applyFill="1" applyBorder="1" applyAlignment="1">
      <alignment vertical="center"/>
    </xf>
    <xf numFmtId="0" fontId="5" fillId="37" borderId="13" xfId="0" applyFont="1" applyFill="1" applyBorder="1" applyAlignment="1">
      <alignment horizontal="right" vertical="center"/>
    </xf>
    <xf numFmtId="0" fontId="86" fillId="41" borderId="0" xfId="0" applyFont="1" applyFill="1" applyBorder="1" applyAlignment="1">
      <alignment horizontal="left" vertical="center"/>
    </xf>
    <xf numFmtId="3" fontId="84" fillId="41" borderId="0" xfId="0" applyNumberFormat="1" applyFont="1" applyFill="1" applyBorder="1" applyAlignment="1">
      <alignment horizontal="right" vertical="center"/>
    </xf>
    <xf numFmtId="3" fontId="86"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86" fillId="38" borderId="0" xfId="0" applyFont="1" applyFill="1" applyBorder="1" applyAlignment="1">
      <alignment horizontal="left" vertical="center"/>
    </xf>
    <xf numFmtId="3" fontId="84" fillId="38" borderId="0" xfId="0" applyNumberFormat="1" applyFont="1" applyFill="1" applyBorder="1" applyAlignment="1">
      <alignment horizontal="right" vertical="center"/>
    </xf>
    <xf numFmtId="3" fontId="86" fillId="38" borderId="0" xfId="0" applyNumberFormat="1" applyFont="1" applyFill="1" applyBorder="1" applyAlignment="1">
      <alignment horizontal="right" vertical="center"/>
    </xf>
    <xf numFmtId="0" fontId="4" fillId="37" borderId="13" xfId="0" applyFont="1" applyFill="1" applyBorder="1" applyAlignment="1">
      <alignment horizontal="left"/>
    </xf>
    <xf numFmtId="0" fontId="5" fillId="37" borderId="13" xfId="0" applyFont="1" applyFill="1" applyBorder="1" applyAlignment="1">
      <alignment horizontal="right"/>
    </xf>
    <xf numFmtId="0" fontId="4" fillId="37" borderId="13" xfId="0" applyFont="1" applyFill="1" applyBorder="1" applyAlignment="1">
      <alignment horizontal="left" vertical="center"/>
    </xf>
    <xf numFmtId="0" fontId="86" fillId="37" borderId="30" xfId="0" applyFont="1" applyFill="1" applyBorder="1" applyAlignment="1">
      <alignment vertical="center"/>
    </xf>
    <xf numFmtId="0" fontId="84" fillId="37" borderId="30" xfId="0" applyFont="1" applyFill="1" applyBorder="1" applyAlignment="1">
      <alignment horizontal="right" vertical="center" wrapText="1"/>
    </xf>
    <xf numFmtId="0" fontId="86" fillId="37" borderId="30" xfId="0" applyFont="1" applyFill="1" applyBorder="1" applyAlignment="1">
      <alignment horizontal="right" vertical="center" wrapText="1"/>
    </xf>
    <xf numFmtId="0" fontId="86" fillId="41" borderId="0" xfId="0" applyFont="1" applyFill="1" applyBorder="1" applyAlignment="1">
      <alignment vertical="center"/>
    </xf>
    <xf numFmtId="0" fontId="86" fillId="37" borderId="0" xfId="0" applyFont="1" applyFill="1" applyBorder="1" applyAlignment="1">
      <alignment vertical="center"/>
    </xf>
    <xf numFmtId="0" fontId="86" fillId="38" borderId="0" xfId="0" applyFont="1" applyFill="1" applyBorder="1" applyAlignment="1">
      <alignment vertical="center"/>
    </xf>
    <xf numFmtId="1" fontId="73" fillId="35" borderId="0" xfId="102" applyNumberFormat="1" applyFont="1" applyFill="1" applyBorder="1" applyAlignment="1"/>
    <xf numFmtId="0" fontId="0" fillId="35" borderId="0" xfId="0" applyFont="1" applyFill="1" applyBorder="1" applyAlignment="1"/>
    <xf numFmtId="14" fontId="72" fillId="0" borderId="0" xfId="123" applyNumberFormat="1" applyFont="1" applyFill="1" applyBorder="1" applyAlignment="1">
      <alignment horizontal="left"/>
    </xf>
    <xf numFmtId="0" fontId="70" fillId="0" borderId="0" xfId="0" applyFont="1" applyFill="1" applyBorder="1"/>
    <xf numFmtId="0" fontId="137" fillId="0" borderId="31" xfId="169" applyNumberFormat="1" applyFont="1" applyBorder="1" applyAlignment="1"/>
    <xf numFmtId="0" fontId="137" fillId="66" borderId="0" xfId="169" applyNumberFormat="1" applyFont="1" applyFill="1" applyBorder="1" applyAlignment="1"/>
    <xf numFmtId="0" fontId="142" fillId="0" borderId="31" xfId="169" applyNumberFormat="1" applyFont="1" applyBorder="1" applyAlignment="1"/>
    <xf numFmtId="0" fontId="137" fillId="0" borderId="0" xfId="169" applyNumberFormat="1" applyFont="1" applyBorder="1" applyAlignment="1"/>
    <xf numFmtId="0" fontId="137" fillId="66" borderId="0" xfId="169" applyNumberFormat="1" applyFont="1" applyFill="1" applyAlignment="1"/>
    <xf numFmtId="0" fontId="142" fillId="0" borderId="31" xfId="169" applyNumberFormat="1" applyFont="1" applyFill="1" applyBorder="1" applyAlignment="1"/>
    <xf numFmtId="0" fontId="142" fillId="0" borderId="32" xfId="169" applyNumberFormat="1" applyFont="1" applyBorder="1" applyAlignment="1"/>
    <xf numFmtId="0" fontId="5" fillId="37" borderId="13" xfId="128" applyNumberFormat="1" applyFont="1" applyFill="1" applyBorder="1" applyAlignment="1">
      <alignment horizontal="right" wrapText="1"/>
    </xf>
    <xf numFmtId="0" fontId="144" fillId="0" borderId="0" xfId="169" applyNumberFormat="1" applyFont="1" applyFill="1" applyBorder="1" applyAlignment="1"/>
    <xf numFmtId="0" fontId="143" fillId="0" borderId="0" xfId="169" applyNumberFormat="1" applyFont="1" applyFill="1" applyBorder="1" applyAlignment="1"/>
    <xf numFmtId="0" fontId="73" fillId="35" borderId="13" xfId="102" applyNumberFormat="1" applyFont="1" applyFill="1" applyBorder="1" applyAlignment="1">
      <alignment horizontal="right" wrapText="1"/>
    </xf>
    <xf numFmtId="0" fontId="0" fillId="35" borderId="0" xfId="0" applyNumberFormat="1" applyFill="1"/>
    <xf numFmtId="0" fontId="69" fillId="35" borderId="0" xfId="0" applyNumberFormat="1" applyFont="1" applyFill="1"/>
    <xf numFmtId="0" fontId="0" fillId="35" borderId="13" xfId="0" applyFill="1" applyBorder="1" applyAlignment="1">
      <alignment horizontal="right"/>
    </xf>
    <xf numFmtId="0" fontId="73" fillId="0" borderId="33" xfId="102" applyFont="1" applyFill="1" applyBorder="1"/>
    <xf numFmtId="164" fontId="72" fillId="0" borderId="33" xfId="126" applyNumberFormat="1" applyFont="1" applyFill="1" applyBorder="1"/>
    <xf numFmtId="164" fontId="72" fillId="0" borderId="33" xfId="126" applyNumberFormat="1" applyFont="1" applyFill="1" applyBorder="1" applyAlignment="1">
      <alignment horizontal="right"/>
    </xf>
    <xf numFmtId="1" fontId="73" fillId="0" borderId="33" xfId="120" applyNumberFormat="1" applyFont="1" applyFill="1" applyBorder="1" applyAlignment="1"/>
    <xf numFmtId="1" fontId="72" fillId="0" borderId="33" xfId="120" applyNumberFormat="1" applyFont="1" applyFill="1" applyBorder="1"/>
    <xf numFmtId="164" fontId="73" fillId="0" borderId="33" xfId="126" applyNumberFormat="1" applyFont="1" applyFill="1" applyBorder="1"/>
    <xf numFmtId="1" fontId="72" fillId="0" borderId="33" xfId="126" applyNumberFormat="1" applyFont="1" applyFill="1" applyBorder="1" applyAlignment="1">
      <alignment horizontal="right"/>
    </xf>
    <xf numFmtId="1" fontId="72" fillId="0" borderId="33" xfId="102" applyNumberFormat="1" applyFont="1" applyFill="1" applyBorder="1"/>
    <xf numFmtId="0" fontId="72" fillId="0" borderId="33" xfId="102" applyFont="1" applyFill="1" applyBorder="1"/>
    <xf numFmtId="0" fontId="73" fillId="0" borderId="33" xfId="120" applyFont="1" applyFill="1" applyBorder="1"/>
    <xf numFmtId="164" fontId="73" fillId="0" borderId="33" xfId="120" applyNumberFormat="1" applyFont="1" applyFill="1" applyBorder="1"/>
    <xf numFmtId="0" fontId="73" fillId="0" borderId="34" xfId="102" applyFont="1" applyFill="1" applyBorder="1"/>
    <xf numFmtId="0" fontId="137" fillId="0" borderId="0" xfId="169" applyAlignment="1"/>
    <xf numFmtId="0" fontId="137" fillId="0" borderId="0" xfId="169" applyFill="1" applyAlignment="1"/>
    <xf numFmtId="0" fontId="143" fillId="0" borderId="0" xfId="169" applyFont="1" applyFill="1" applyBorder="1" applyAlignment="1"/>
    <xf numFmtId="172" fontId="69" fillId="35" borderId="0" xfId="0" applyNumberFormat="1" applyFont="1" applyFill="1"/>
    <xf numFmtId="2" fontId="131" fillId="35" borderId="0" xfId="0" applyNumberFormat="1" applyFont="1" applyFill="1" applyBorder="1" applyAlignment="1">
      <alignment horizontal="left" vertical="top"/>
    </xf>
    <xf numFmtId="0" fontId="131" fillId="35" borderId="0" xfId="0" applyFont="1" applyFill="1" applyBorder="1" applyAlignment="1">
      <alignment horizontal="left" vertical="top"/>
    </xf>
    <xf numFmtId="0" fontId="43" fillId="35" borderId="0" xfId="0" applyFont="1" applyFill="1" applyBorder="1" applyAlignment="1">
      <alignment horizontal="left" vertical="top"/>
    </xf>
    <xf numFmtId="0" fontId="71" fillId="35" borderId="0" xfId="0" applyFont="1" applyFill="1" applyAlignment="1">
      <alignment horizontal="left"/>
    </xf>
    <xf numFmtId="0" fontId="137" fillId="0" borderId="0" xfId="169" applyNumberFormat="1" applyFill="1" applyAlignment="1"/>
    <xf numFmtId="0" fontId="73"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5" fillId="37" borderId="13" xfId="166" applyFont="1" applyFill="1" applyBorder="1" applyAlignment="1">
      <alignment horizontal="center" wrapText="1"/>
    </xf>
    <xf numFmtId="0" fontId="4" fillId="41" borderId="0" xfId="166" applyNumberFormat="1" applyFont="1" applyFill="1" applyBorder="1" applyAlignment="1">
      <alignment horizontal="center"/>
    </xf>
    <xf numFmtId="0" fontId="4" fillId="37" borderId="0" xfId="166" applyNumberFormat="1" applyFont="1" applyFill="1" applyBorder="1" applyAlignment="1">
      <alignment horizontal="center"/>
    </xf>
    <xf numFmtId="0" fontId="5" fillId="37" borderId="0" xfId="102" applyFont="1" applyFill="1" applyBorder="1" applyAlignment="1">
      <alignment horizontal="center" wrapText="1"/>
    </xf>
    <xf numFmtId="0" fontId="73" fillId="35" borderId="13" xfId="102" applyNumberFormat="1" applyFont="1" applyFill="1" applyBorder="1" applyAlignment="1">
      <alignment horizontal="right"/>
    </xf>
    <xf numFmtId="0" fontId="73" fillId="35" borderId="13" xfId="125" applyFont="1" applyFill="1" applyBorder="1" applyAlignment="1">
      <alignment horizontal="right"/>
    </xf>
    <xf numFmtId="0" fontId="137" fillId="0" borderId="0" xfId="169" applyFill="1" applyBorder="1" applyAlignment="1"/>
    <xf numFmtId="0" fontId="137" fillId="0" borderId="0" xfId="169" applyNumberFormat="1" applyFont="1" applyFill="1" applyBorder="1" applyAlignment="1"/>
    <xf numFmtId="0" fontId="140" fillId="0" borderId="0" xfId="0" applyFont="1" applyFill="1" applyBorder="1" applyAlignment="1">
      <alignment vertical="center"/>
    </xf>
    <xf numFmtId="0" fontId="141" fillId="67" borderId="0" xfId="0" applyFont="1" applyFill="1" applyBorder="1" applyAlignment="1">
      <alignment horizontal="center" vertical="center"/>
    </xf>
    <xf numFmtId="0" fontId="140" fillId="35" borderId="0" xfId="0" applyFont="1" applyFill="1" applyBorder="1" applyAlignment="1">
      <alignment vertical="center"/>
    </xf>
    <xf numFmtId="4" fontId="71" fillId="35" borderId="0" xfId="0" applyNumberFormat="1" applyFont="1" applyFill="1"/>
    <xf numFmtId="164" fontId="77" fillId="35" borderId="0" xfId="0" applyNumberFormat="1" applyFont="1" applyFill="1"/>
    <xf numFmtId="0" fontId="145" fillId="0" borderId="0" xfId="169" applyFont="1" applyAlignment="1"/>
    <xf numFmtId="0" fontId="143" fillId="0" borderId="0" xfId="169" applyFont="1" applyFill="1" applyAlignment="1"/>
    <xf numFmtId="0" fontId="72" fillId="35" borderId="13" xfId="135" applyFont="1" applyFill="1" applyBorder="1" applyAlignment="1">
      <alignment horizontal="left" wrapText="1"/>
    </xf>
    <xf numFmtId="0" fontId="67" fillId="0" borderId="0" xfId="97" applyFill="1" applyAlignment="1"/>
    <xf numFmtId="0" fontId="0" fillId="0" borderId="0" xfId="0"/>
    <xf numFmtId="0" fontId="73" fillId="35" borderId="0" xfId="102" applyFont="1" applyFill="1" applyBorder="1"/>
    <xf numFmtId="0" fontId="73" fillId="35" borderId="0" xfId="102" applyFont="1" applyFill="1" applyBorder="1" applyAlignment="1">
      <alignment horizontal="right"/>
    </xf>
    <xf numFmtId="0" fontId="73" fillId="35" borderId="0" xfId="0" applyFont="1" applyFill="1" applyBorder="1"/>
    <xf numFmtId="0" fontId="73" fillId="35" borderId="0" xfId="102" applyFont="1" applyFill="1" applyBorder="1" applyAlignment="1">
      <alignment horizontal="left"/>
    </xf>
    <xf numFmtId="0" fontId="5" fillId="37" borderId="13" xfId="0" applyFont="1" applyFill="1" applyBorder="1" applyAlignment="1">
      <alignment horizontal="right" wrapText="1"/>
    </xf>
    <xf numFmtId="3" fontId="71" fillId="40" borderId="0" xfId="0" applyNumberFormat="1" applyFont="1" applyFill="1"/>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1" fontId="72" fillId="40" borderId="0" xfId="165" applyNumberFormat="1" applyFont="1" applyFill="1" applyBorder="1" applyAlignment="1">
      <alignment horizontal="left"/>
    </xf>
    <xf numFmtId="3" fontId="84"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5" fillId="37" borderId="13" xfId="0" applyFont="1" applyFill="1" applyBorder="1" applyAlignment="1">
      <alignment horizontal="right"/>
    </xf>
    <xf numFmtId="0" fontId="142" fillId="0" borderId="31" xfId="169" applyNumberFormat="1" applyFont="1" applyFill="1" applyBorder="1" applyAlignment="1"/>
    <xf numFmtId="0" fontId="137" fillId="0" borderId="0" xfId="169" applyAlignment="1"/>
    <xf numFmtId="0" fontId="137" fillId="0" borderId="0" xfId="169" applyNumberFormat="1" applyFill="1" applyAlignment="1"/>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0" fontId="73" fillId="35" borderId="0" xfId="0" applyFont="1" applyFill="1" applyBorder="1"/>
    <xf numFmtId="3" fontId="73" fillId="35" borderId="0" xfId="0" applyNumberFormat="1" applyFont="1" applyFill="1" applyBorder="1" applyAlignment="1">
      <alignment horizontal="left"/>
    </xf>
    <xf numFmtId="0" fontId="73" fillId="35" borderId="0" xfId="101" applyFont="1" applyFill="1" applyBorder="1" applyAlignment="1">
      <alignment wrapText="1"/>
    </xf>
    <xf numFmtId="0" fontId="74" fillId="34" borderId="0" xfId="123" applyFont="1" applyFill="1" applyAlignment="1">
      <alignment horizontal="left" wrapText="1"/>
    </xf>
    <xf numFmtId="0" fontId="73" fillId="35" borderId="0" xfId="101" applyFont="1" applyFill="1" applyAlignment="1">
      <alignment horizontal="left" wrapText="1"/>
    </xf>
    <xf numFmtId="0" fontId="72" fillId="35" borderId="0" xfId="102" applyFont="1" applyFill="1" applyBorder="1" applyAlignment="1">
      <alignment horizontal="center"/>
    </xf>
    <xf numFmtId="0" fontId="77" fillId="35" borderId="0" xfId="0" applyFont="1" applyFill="1" applyAlignment="1">
      <alignment horizontal="center"/>
    </xf>
    <xf numFmtId="0" fontId="69" fillId="0" borderId="0" xfId="0" applyFont="1" applyAlignment="1">
      <alignment horizontal="center"/>
    </xf>
    <xf numFmtId="0" fontId="71" fillId="35" borderId="0" xfId="0" applyFont="1" applyFill="1" applyBorder="1" applyAlignment="1">
      <alignment horizontal="left" wrapText="1"/>
    </xf>
    <xf numFmtId="0" fontId="73" fillId="35" borderId="0" xfId="102" applyFont="1" applyFill="1" applyBorder="1" applyAlignment="1">
      <alignment horizontal="left" wrapText="1"/>
    </xf>
    <xf numFmtId="0" fontId="74" fillId="34" borderId="0" xfId="128" applyFont="1" applyFill="1" applyAlignment="1">
      <alignment horizontal="left" wrapText="1"/>
    </xf>
    <xf numFmtId="0" fontId="74" fillId="35" borderId="0" xfId="128" applyFont="1" applyFill="1" applyAlignment="1">
      <alignment horizontal="left" wrapText="1"/>
    </xf>
    <xf numFmtId="0" fontId="73" fillId="34" borderId="0" xfId="129" applyFont="1" applyFill="1" applyBorder="1" applyAlignment="1">
      <alignment horizontal="left" wrapText="1"/>
    </xf>
    <xf numFmtId="0" fontId="73" fillId="35" borderId="0" xfId="0" applyFont="1" applyFill="1" applyBorder="1" applyAlignment="1">
      <alignment horizontal="left" wrapText="1"/>
    </xf>
    <xf numFmtId="0" fontId="73" fillId="35" borderId="0" xfId="0" applyFont="1" applyFill="1" applyAlignment="1">
      <alignment horizontal="left" vertical="center" wrapText="1"/>
    </xf>
    <xf numFmtId="0" fontId="74" fillId="0" borderId="0" xfId="0" applyFont="1" applyAlignment="1">
      <alignment horizontal="left" wrapText="1"/>
    </xf>
    <xf numFmtId="0" fontId="98" fillId="35" borderId="0" xfId="105" applyFont="1" applyFill="1" applyBorder="1"/>
    <xf numFmtId="0" fontId="71" fillId="35" borderId="0" xfId="0" applyFont="1" applyFill="1" applyAlignment="1">
      <alignment horizontal="left" wrapText="1"/>
    </xf>
    <xf numFmtId="0" fontId="74" fillId="35" borderId="0" xfId="109" applyFont="1" applyFill="1" applyAlignment="1">
      <alignment horizontal="left" vertical="center" wrapText="1"/>
    </xf>
    <xf numFmtId="0" fontId="77" fillId="35" borderId="0" xfId="0" applyFont="1" applyFill="1" applyBorder="1" applyAlignment="1">
      <alignment horizontal="center"/>
    </xf>
    <xf numFmtId="0" fontId="88" fillId="0" borderId="0" xfId="0" applyFont="1" applyBorder="1" applyAlignment="1">
      <alignment horizontal="left" wrapText="1"/>
    </xf>
    <xf numFmtId="0" fontId="118" fillId="0" borderId="0" xfId="115" applyFont="1" applyAlignment="1" applyProtection="1">
      <alignment horizontal="left" wrapText="1"/>
      <protection locked="0"/>
    </xf>
    <xf numFmtId="0" fontId="73" fillId="34" borderId="0" xfId="133" applyFont="1" applyFill="1" applyAlignment="1">
      <alignment horizontal="left" wrapText="1"/>
    </xf>
    <xf numFmtId="0" fontId="73" fillId="35" borderId="0" xfId="132" applyFont="1" applyFill="1" applyBorder="1" applyAlignment="1">
      <alignment wrapText="1"/>
    </xf>
    <xf numFmtId="0" fontId="4" fillId="38" borderId="0" xfId="166" applyFont="1" applyFill="1" applyBorder="1" applyAlignment="1">
      <alignment horizontal="center" wrapText="1"/>
    </xf>
    <xf numFmtId="0" fontId="4" fillId="0" borderId="29" xfId="166" applyFont="1" applyFill="1" applyBorder="1" applyAlignment="1">
      <alignment horizontal="center" vertical="center"/>
    </xf>
    <xf numFmtId="0" fontId="4" fillId="0" borderId="24" xfId="166" applyFont="1" applyFill="1" applyBorder="1" applyAlignment="1">
      <alignment horizontal="center" vertical="center"/>
    </xf>
    <xf numFmtId="0" fontId="4" fillId="0" borderId="27" xfId="166" applyFont="1" applyFill="1" applyBorder="1" applyAlignment="1">
      <alignment horizontal="center" wrapText="1"/>
    </xf>
    <xf numFmtId="0" fontId="4" fillId="0" borderId="28" xfId="166" applyFont="1" applyFill="1" applyBorder="1" applyAlignment="1">
      <alignment horizontal="center" wrapText="1"/>
    </xf>
    <xf numFmtId="0" fontId="4" fillId="0" borderId="27" xfId="166" applyFont="1" applyFill="1" applyBorder="1" applyAlignment="1">
      <alignment horizontal="center" vertical="center"/>
    </xf>
    <xf numFmtId="0" fontId="4" fillId="0" borderId="28" xfId="166" applyFont="1" applyFill="1" applyBorder="1" applyAlignment="1">
      <alignment horizontal="center" vertical="center"/>
    </xf>
    <xf numFmtId="0" fontId="4" fillId="0" borderId="20" xfId="166" applyFont="1" applyFill="1" applyBorder="1" applyAlignment="1">
      <alignment horizontal="center" vertical="center"/>
    </xf>
    <xf numFmtId="0" fontId="4" fillId="0" borderId="19" xfId="166" applyFont="1" applyFill="1" applyBorder="1" applyAlignment="1">
      <alignment horizontal="center" vertical="center"/>
    </xf>
    <xf numFmtId="0" fontId="4" fillId="0" borderId="14" xfId="166" applyFont="1" applyFill="1" applyBorder="1" applyAlignment="1">
      <alignment horizontal="center" vertical="center"/>
    </xf>
    <xf numFmtId="0" fontId="4" fillId="0" borderId="25" xfId="166" applyFont="1" applyFill="1" applyBorder="1" applyAlignment="1">
      <alignment horizontal="center" vertical="center"/>
    </xf>
    <xf numFmtId="0" fontId="4" fillId="0" borderId="26" xfId="166" applyFont="1" applyFill="1" applyBorder="1" applyAlignment="1">
      <alignment horizontal="center" vertical="center"/>
    </xf>
    <xf numFmtId="0" fontId="71" fillId="35" borderId="0" xfId="0" applyFont="1" applyFill="1" applyAlignment="1">
      <alignment horizontal="left" vertical="top" wrapText="1"/>
    </xf>
  </cellXfs>
  <cellStyles count="200">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20% - Dekorfärg1" xfId="170"/>
    <cellStyle name="20% - Dekorfärg2" xfId="171"/>
    <cellStyle name="20% - Dekorfärg3" xfId="172"/>
    <cellStyle name="20% - Dekorfärg4" xfId="173"/>
    <cellStyle name="20% - Dekorfärg5" xfId="174"/>
    <cellStyle name="20% - Dekorfärg6" xfId="175"/>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40% - Dekorfärg1" xfId="176"/>
    <cellStyle name="40% - Dekorfärg2" xfId="177"/>
    <cellStyle name="40% - Dekorfärg3" xfId="178"/>
    <cellStyle name="40% - Dekorfärg4" xfId="179"/>
    <cellStyle name="40% - Dekorfärg5" xfId="180"/>
    <cellStyle name="40% - Dekorfärg6" xfId="181"/>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60% - Dekorfärg1" xfId="182"/>
    <cellStyle name="60% - Dekorfärg2" xfId="183"/>
    <cellStyle name="60% - Dekorfärg3" xfId="184"/>
    <cellStyle name="60% - Dekorfärg4" xfId="185"/>
    <cellStyle name="60% - Dekorfärg5" xfId="186"/>
    <cellStyle name="60% - Dekorfärg6" xfId="187"/>
    <cellStyle name="Accent1" xfId="37"/>
    <cellStyle name="Accent1 - 20%" xfId="38"/>
    <cellStyle name="Accent1 - 40%" xfId="39"/>
    <cellStyle name="Accent1 - 60%" xfId="40"/>
    <cellStyle name="Accent2" xfId="41"/>
    <cellStyle name="Accent2 - 20%" xfId="42"/>
    <cellStyle name="Accent2 - 40%" xfId="43"/>
    <cellStyle name="Accent2 - 60%" xfId="44"/>
    <cellStyle name="Accent3" xfId="45"/>
    <cellStyle name="Accent3 - 20%" xfId="46"/>
    <cellStyle name="Accent3 - 40%" xfId="47"/>
    <cellStyle name="Accent3 - 60%" xfId="48"/>
    <cellStyle name="Accent4" xfId="49"/>
    <cellStyle name="Accent4 - 20%" xfId="50"/>
    <cellStyle name="Accent4 - 40%" xfId="51"/>
    <cellStyle name="Accent4 - 60%" xfId="52"/>
    <cellStyle name="Accent5" xfId="53"/>
    <cellStyle name="Accent5 - 20%" xfId="54"/>
    <cellStyle name="Accent5 - 40%" xfId="55"/>
    <cellStyle name="Accent5 - 60%" xfId="56"/>
    <cellStyle name="Accent6" xfId="57"/>
    <cellStyle name="Accent6 - 20%" xfId="58"/>
    <cellStyle name="Accent6 - 40%" xfId="59"/>
    <cellStyle name="Accent6 - 60%" xfId="60"/>
    <cellStyle name="Akzent1" xfId="61"/>
    <cellStyle name="Akzent2" xfId="62"/>
    <cellStyle name="Akzent3" xfId="63"/>
    <cellStyle name="Akzent4" xfId="64"/>
    <cellStyle name="Akzent5" xfId="65"/>
    <cellStyle name="Akzent6" xfId="66"/>
    <cellStyle name="Ausgabe" xfId="67"/>
    <cellStyle name="Bad" xfId="68"/>
    <cellStyle name="Berechnung" xfId="69"/>
    <cellStyle name="Bold GHG Numbers (0.00)" xfId="70"/>
    <cellStyle name="C01_Main head" xfId="71"/>
    <cellStyle name="C02_Column heads" xfId="72"/>
    <cellStyle name="C03_Sub head bold" xfId="73"/>
    <cellStyle name="C03a_Sub head" xfId="74"/>
    <cellStyle name="C04_Total text white bold" xfId="75"/>
    <cellStyle name="C04a_Total text black with rule" xfId="76"/>
    <cellStyle name="C05_Main text" xfId="77"/>
    <cellStyle name="C06_Figs" xfId="78"/>
    <cellStyle name="C07_Figs 1 dec percent" xfId="79"/>
    <cellStyle name="C08_Figs 1 decimal" xfId="80"/>
    <cellStyle name="C09_Notes" xfId="81"/>
    <cellStyle name="Calculation" xfId="82"/>
    <cellStyle name="Check Cell" xfId="83"/>
    <cellStyle name="Eingabe" xfId="84"/>
    <cellStyle name="Emphasis 1" xfId="85"/>
    <cellStyle name="Emphasis 2" xfId="86"/>
    <cellStyle name="Emphasis 3" xfId="87"/>
    <cellStyle name="Ergebnis" xfId="88"/>
    <cellStyle name="Erklärender Text" xfId="89"/>
    <cellStyle name="Explanatory Text" xfId="90"/>
    <cellStyle name="Färg1" xfId="188"/>
    <cellStyle name="Färg2" xfId="189"/>
    <cellStyle name="Färg3" xfId="190"/>
    <cellStyle name="Färg4" xfId="191"/>
    <cellStyle name="Färg5" xfId="192"/>
    <cellStyle name="Färg6" xfId="193"/>
    <cellStyle name="Good" xfId="91"/>
    <cellStyle name="Gut" xfId="92"/>
    <cellStyle name="Heading 1" xfId="93"/>
    <cellStyle name="Heading 2" xfId="94"/>
    <cellStyle name="Heading 3" xfId="95"/>
    <cellStyle name="Heading 4" xfId="96"/>
    <cellStyle name="Hyperlänk" xfId="97" builtinId="8"/>
    <cellStyle name="Hyperlänk 2" xfId="98"/>
    <cellStyle name="Input" xfId="99"/>
    <cellStyle name="Linked Cell" xfId="100"/>
    <cellStyle name="Normal" xfId="0" builtinId="0"/>
    <cellStyle name="Normal 10" xfId="169"/>
    <cellStyle name="Normal 2" xfId="101"/>
    <cellStyle name="Normal 2 2" xfId="102"/>
    <cellStyle name="Normal 2 3" xfId="103"/>
    <cellStyle name="Normal 2 3 2" xfId="104"/>
    <cellStyle name="Normal 2 4" xfId="199"/>
    <cellStyle name="Normal 3" xfId="105"/>
    <cellStyle name="Normal 3 2" xfId="106"/>
    <cellStyle name="Normal 3 3" xfId="107"/>
    <cellStyle name="Normal 4" xfId="108"/>
    <cellStyle name="Normal 4 2" xfId="167"/>
    <cellStyle name="Normal 4_8.3" xfId="194"/>
    <cellStyle name="Normal 5" xfId="109"/>
    <cellStyle name="Normal 6" xfId="110"/>
    <cellStyle name="Normal 6 2" xfId="111"/>
    <cellStyle name="Normal 6 3" xfId="112"/>
    <cellStyle name="Normal 7" xfId="113"/>
    <cellStyle name="Normal 7 2" xfId="168"/>
    <cellStyle name="Normal 7_8.3" xfId="195"/>
    <cellStyle name="Normal 8" xfId="114"/>
    <cellStyle name="Normal 9" xfId="115"/>
    <cellStyle name="Normal GHG whole table" xfId="116"/>
    <cellStyle name="Normal_Blad2" xfId="165"/>
    <cellStyle name="Normal_Bok3 2" xfId="117"/>
    <cellStyle name="Normal_Copia de Alla Grundindikatorer 2008_2, 3, 5 UK" xfId="118"/>
    <cellStyle name="Normal_energiläget i siffror" xfId="119"/>
    <cellStyle name="Normal_energiläget i siffror 2" xfId="120"/>
    <cellStyle name="Normal_Figur 11 Andel förnybar energianvändning" xfId="121"/>
    <cellStyle name="Normal_Fjärrkyla (2004)  f.d. tab 16" xfId="122"/>
    <cellStyle name="Normal_Sveriges totala energitillförsel 1970-2003 2" xfId="123"/>
    <cellStyle name="Normal_tab24" xfId="124"/>
    <cellStyle name="Normal_Tabell till fig 06 - Sveriges totala energitillförsel (Eva 2005) 2" xfId="125"/>
    <cellStyle name="Normal_Tabell till fig 07-10 Energibalansen" xfId="126"/>
    <cellStyle name="Normal_Tabell till fig 10 - 11 - Bostadssektorn till ETC" xfId="127"/>
    <cellStyle name="Normal_Tabell till fig 12 - 15 - Industrisektorn (Per 2005)" xfId="128"/>
    <cellStyle name="Normal_Tabell till fig 16 -Transportsektorn till ETC" xfId="129"/>
    <cellStyle name="Normal_Tabell till fig 17, 18, 19, 20, 22, 24 Elmarknaden (Till GA 10 okt) till ETC" xfId="130"/>
    <cellStyle name="Normal_Tabell till fig 25 - 27 Fjärrvärme &amp; fjärrkyla (Till GA 10 okt) till ETC" xfId="131"/>
    <cellStyle name="Normal_Tabell till fig 33 (53)" xfId="132"/>
    <cellStyle name="Normal_Tabell till fig 34-37 Olja" xfId="133"/>
    <cellStyle name="Normal_Tabell till fig 38 (51)" xfId="134"/>
    <cellStyle name="Normal_Tabell till fig 41 Pellets_mp" xfId="135"/>
    <cellStyle name="Normal_Tabell till fig 48, 50-59 Eläget i världen 2010" xfId="166"/>
    <cellStyle name="Note" xfId="136"/>
    <cellStyle name="Notiz" xfId="137"/>
    <cellStyle name="Output" xfId="138"/>
    <cellStyle name="Procent 2" xfId="139"/>
    <cellStyle name="Procent 2 2" xfId="140"/>
    <cellStyle name="Procent 2 3" xfId="196"/>
    <cellStyle name="Procent 3" xfId="141"/>
    <cellStyle name="Schlecht" xfId="142"/>
    <cellStyle name="Sheet Title" xfId="143"/>
    <cellStyle name="Standard 2" xfId="144"/>
    <cellStyle name="Standard 3" xfId="145"/>
    <cellStyle name="Standard 3 2" xfId="146"/>
    <cellStyle name="Standard 4" xfId="147"/>
    <cellStyle name="Standard 5" xfId="148"/>
    <cellStyle name="Title" xfId="149"/>
    <cellStyle name="Total" xfId="150"/>
    <cellStyle name="Tusental (0)_SNI 23" xfId="151"/>
    <cellStyle name="Tusental 2" xfId="152"/>
    <cellStyle name="Tusental 2 2" xfId="197"/>
    <cellStyle name="Tusental 3" xfId="153"/>
    <cellStyle name="Tusental 3 2" xfId="198"/>
    <cellStyle name="Valuta (0)_SNI 23" xfId="154"/>
    <cellStyle name="Warnender Text" xfId="155"/>
    <cellStyle name="Warning Text" xfId="156"/>
    <cellStyle name="Verknüpfte Zelle" xfId="157"/>
    <cellStyle name="Überschrift" xfId="158"/>
    <cellStyle name="Überschrift 1" xfId="159"/>
    <cellStyle name="Überschrift 2" xfId="160"/>
    <cellStyle name="Überschrift 3" xfId="161"/>
    <cellStyle name="Überschrift 4" xfId="162"/>
    <cellStyle name="Zelle überprüfen" xfId="163"/>
    <cellStyle name="Обычный_CRF2002 (1)" xfId="164"/>
  </cellStyles>
  <dxfs count="793">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1" defaultTableStyle="TableStyleMedium2" defaultPivotStyle="PivotStyleLight16">
    <tableStyle name="Tabellformat 1" pivot="0" count="0"/>
  </tableStyles>
  <colors>
    <mruColors>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'1.2'!$A$3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'1.2'!$B$6</c:f>
              <c:strCache>
                <c:ptCount val="1"/>
                <c:pt idx="0">
                  <c:v>Biomass</c:v>
                </c:pt>
              </c:strCache>
            </c:strRef>
          </c:tx>
          <c:spPr>
            <a:solidFill>
              <a:srgbClr val="92D05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'1.2'!$B$7:$B$52</c:f>
              <c:numCache>
                <c:formatCode>0</c:formatCode>
                <c:ptCount val="46"/>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105.37014884444446</c:v>
                </c:pt>
                <c:pt idx="36">
                  <c:v>109.29060075555556</c:v>
                </c:pt>
                <c:pt idx="37">
                  <c:v>113.7407031</c:v>
                </c:pt>
                <c:pt idx="38">
                  <c:v>115.74922244444444</c:v>
                </c:pt>
                <c:pt idx="39">
                  <c:v>118.98416666666665</c:v>
                </c:pt>
                <c:pt idx="40">
                  <c:v>127.4525</c:v>
                </c:pt>
                <c:pt idx="41">
                  <c:v>123.19</c:v>
                </c:pt>
                <c:pt idx="42">
                  <c:v>128.80916666666667</c:v>
                </c:pt>
                <c:pt idx="43">
                  <c:v>129.83805555555554</c:v>
                </c:pt>
                <c:pt idx="44">
                  <c:v>130.33305555555555</c:v>
                </c:pt>
                <c:pt idx="45">
                  <c:v>133.54361111111109</c:v>
                </c:pt>
              </c:numCache>
            </c:numRef>
          </c:val>
          <c:extLst>
            <c:ext xmlns:c16="http://schemas.microsoft.com/office/drawing/2014/chart" uri="{C3380CC4-5D6E-409C-BE32-E72D297353CC}">
              <c16:uniqueId val="{00000000-A0FB-48C3-A378-FF21A56D488D}"/>
            </c:ext>
          </c:extLst>
        </c:ser>
        <c:ser>
          <c:idx val="1"/>
          <c:order val="1"/>
          <c:tx>
            <c:strRef>
              <c:f>'1.2'!$C$6</c:f>
              <c:strCache>
                <c:ptCount val="1"/>
                <c:pt idx="0">
                  <c:v>Coal and coke</c:v>
                </c:pt>
              </c:strCache>
            </c:strRef>
          </c:tx>
          <c:spPr>
            <a:solidFill>
              <a:schemeClr val="bg2">
                <a:lumMod val="25000"/>
                <a:alpha val="81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'1.2'!$C$7:$C$52</c:f>
              <c:numCache>
                <c:formatCode>0</c:formatCode>
                <c:ptCount val="46"/>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18.876111111111108</c:v>
                </c:pt>
              </c:numCache>
            </c:numRef>
          </c:val>
          <c:extLst>
            <c:ext xmlns:c16="http://schemas.microsoft.com/office/drawing/2014/chart" uri="{C3380CC4-5D6E-409C-BE32-E72D297353CC}">
              <c16:uniqueId val="{00000001-A0FB-48C3-A378-FF21A56D488D}"/>
            </c:ext>
          </c:extLst>
        </c:ser>
        <c:ser>
          <c:idx val="2"/>
          <c:order val="2"/>
          <c:tx>
            <c:strRef>
              <c:f>'1.2'!$D$6</c:f>
              <c:strCache>
                <c:ptCount val="1"/>
                <c:pt idx="0">
                  <c:v>Crude oil and petroleum products</c:v>
                </c:pt>
              </c:strCache>
            </c:strRef>
          </c:tx>
          <c:spPr>
            <a:solidFill>
              <a:schemeClr val="accent6">
                <a:lumMod val="75000"/>
                <a:alpha val="80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'1.2'!$D$7:$D$52</c:f>
              <c:numCache>
                <c:formatCode>0</c:formatCode>
                <c:ptCount val="46"/>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164.13499999999999</c:v>
                </c:pt>
                <c:pt idx="36">
                  <c:v>162.43805555555559</c:v>
                </c:pt>
                <c:pt idx="37">
                  <c:v>148.37305555555554</c:v>
                </c:pt>
                <c:pt idx="38">
                  <c:v>154.09861111111107</c:v>
                </c:pt>
                <c:pt idx="39">
                  <c:v>143.51888888888888</c:v>
                </c:pt>
                <c:pt idx="40">
                  <c:v>156.80583333333331</c:v>
                </c:pt>
                <c:pt idx="41">
                  <c:v>150.0094444444444</c:v>
                </c:pt>
                <c:pt idx="42">
                  <c:v>142.90249999999997</c:v>
                </c:pt>
                <c:pt idx="43">
                  <c:v>133.74694444444444</c:v>
                </c:pt>
                <c:pt idx="44">
                  <c:v>133.73361111111114</c:v>
                </c:pt>
                <c:pt idx="45">
                  <c:v>119.25055555555556</c:v>
                </c:pt>
              </c:numCache>
            </c:numRef>
          </c:val>
          <c:extLst>
            <c:ext xmlns:c16="http://schemas.microsoft.com/office/drawing/2014/chart" uri="{C3380CC4-5D6E-409C-BE32-E72D297353CC}">
              <c16:uniqueId val="{00000002-A0FB-48C3-A378-FF21A56D488D}"/>
            </c:ext>
          </c:extLst>
        </c:ser>
        <c:ser>
          <c:idx val="3"/>
          <c:order val="3"/>
          <c:tx>
            <c:strRef>
              <c:f>'1.2'!$E$6</c:f>
              <c:strCache>
                <c:ptCount val="1"/>
                <c:pt idx="0">
                  <c:v>Natural gas, gasworks gas</c:v>
                </c:pt>
              </c:strCache>
            </c:strRef>
          </c:tx>
          <c:spPr>
            <a:solidFill>
              <a:schemeClr val="accent2">
                <a:lumMod val="60000"/>
                <a:lumOff val="40000"/>
                <a:alpha val="80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'1.2'!$E$7:$E$52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numCache>
            </c:numRef>
          </c:val>
          <c:extLst>
            <c:ext xmlns:c16="http://schemas.microsoft.com/office/drawing/2014/chart" uri="{C3380CC4-5D6E-409C-BE32-E72D297353CC}">
              <c16:uniqueId val="{00000003-A0FB-48C3-A378-FF21A56D488D}"/>
            </c:ext>
          </c:extLst>
        </c:ser>
        <c:ser>
          <c:idx val="4"/>
          <c:order val="4"/>
          <c:tx>
            <c:strRef>
              <c:f>'1.2'!$F$6</c:f>
              <c:strCache>
                <c:ptCount val="1"/>
                <c:pt idx="0">
                  <c:v>Other fuels</c:v>
                </c:pt>
              </c:strCache>
            </c:strRef>
          </c:tx>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'1.2'!$F$7:$F$52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12.680555555555555</c:v>
                </c:pt>
                <c:pt idx="36">
                  <c:v>12.013333333333334</c:v>
                </c:pt>
                <c:pt idx="37">
                  <c:v>13.467499999999999</c:v>
                </c:pt>
                <c:pt idx="38">
                  <c:v>14.190555555555555</c:v>
                </c:pt>
                <c:pt idx="39">
                  <c:v>12.403888888888888</c:v>
                </c:pt>
                <c:pt idx="40">
                  <c:v>14.371666666666666</c:v>
                </c:pt>
                <c:pt idx="41">
                  <c:v>14.130833333333332</c:v>
                </c:pt>
                <c:pt idx="42">
                  <c:v>13.129722222222222</c:v>
                </c:pt>
                <c:pt idx="43">
                  <c:v>14.568333333333332</c:v>
                </c:pt>
                <c:pt idx="44">
                  <c:v>14.284444444444443</c:v>
                </c:pt>
                <c:pt idx="45">
                  <c:v>13.781388888888889</c:v>
                </c:pt>
              </c:numCache>
            </c:numRef>
          </c:val>
          <c:extLst>
            <c:ext xmlns:c16="http://schemas.microsoft.com/office/drawing/2014/chart" uri="{C3380CC4-5D6E-409C-BE32-E72D297353CC}">
              <c16:uniqueId val="{00000004-A0FB-48C3-A378-FF21A56D488D}"/>
            </c:ext>
          </c:extLst>
        </c:ser>
        <c:ser>
          <c:idx val="5"/>
          <c:order val="5"/>
          <c:tx>
            <c:strRef>
              <c:f>'1.2'!$G$6</c:f>
              <c:strCache>
                <c:ptCount val="1"/>
                <c:pt idx="0">
                  <c:v>Nuclear fuel</c:v>
                </c:pt>
              </c:strCache>
            </c:strRef>
          </c:tx>
          <c:spPr>
            <a:solidFill>
              <a:srgbClr val="FFC00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'1.2'!$G$7:$G$52</c:f>
              <c:numCache>
                <c:formatCode>0</c:formatCode>
                <c:ptCount val="46"/>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numCache>
            </c:numRef>
          </c:val>
          <c:extLst>
            <c:ext xmlns:c16="http://schemas.microsoft.com/office/drawing/2014/chart" uri="{C3380CC4-5D6E-409C-BE32-E72D297353CC}">
              <c16:uniqueId val="{00000005-A0FB-48C3-A378-FF21A56D488D}"/>
            </c:ext>
          </c:extLst>
        </c:ser>
        <c:ser>
          <c:idx val="6"/>
          <c:order val="6"/>
          <c:tx>
            <c:strRef>
              <c:f>'1.2'!$H$6</c:f>
              <c:strCache>
                <c:ptCount val="1"/>
                <c:pt idx="0">
                  <c:v>Primary heat</c:v>
                </c:pt>
              </c:strCache>
            </c:strRef>
          </c:tx>
          <c:spPr>
            <a:solidFill>
              <a:srgbClr val="FFFF0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'1.2'!$H$7:$H$52</c:f>
              <c:numCache>
                <c:formatCode>0</c:formatCode>
                <c:ptCount val="46"/>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numCache>
            </c:numRef>
          </c:val>
          <c:extLst>
            <c:ext xmlns:c16="http://schemas.microsoft.com/office/drawing/2014/chart" uri="{C3380CC4-5D6E-409C-BE32-E72D297353CC}">
              <c16:uniqueId val="{00000006-A0FB-48C3-A378-FF21A56D488D}"/>
            </c:ext>
          </c:extLst>
        </c:ser>
        <c:ser>
          <c:idx val="7"/>
          <c:order val="7"/>
          <c:tx>
            <c:strRef>
              <c:f>'1.2'!$I$6</c:f>
              <c:strCache>
                <c:ptCount val="1"/>
                <c:pt idx="0">
                  <c:v>Hydropower</c:v>
                </c:pt>
              </c:strCache>
            </c:strRef>
          </c:tx>
          <c:spPr>
            <a:solidFill>
              <a:srgbClr val="0070C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'1.2'!$I$7:$I$52</c:f>
              <c:numCache>
                <c:formatCode>0</c:formatCode>
                <c:ptCount val="46"/>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numCache>
            </c:numRef>
          </c:val>
          <c:extLst>
            <c:ext xmlns:c16="http://schemas.microsoft.com/office/drawing/2014/chart" uri="{C3380CC4-5D6E-409C-BE32-E72D297353CC}">
              <c16:uniqueId val="{00000007-A0FB-48C3-A378-FF21A56D488D}"/>
            </c:ext>
          </c:extLst>
        </c:ser>
        <c:ser>
          <c:idx val="8"/>
          <c:order val="8"/>
          <c:tx>
            <c:strRef>
              <c:f>'1.2'!$J$6</c:f>
              <c:strCache>
                <c:ptCount val="1"/>
                <c:pt idx="0">
                  <c:v>Windpower</c:v>
                </c:pt>
              </c:strCache>
            </c:strRef>
          </c:tx>
          <c:spPr>
            <a:solidFill>
              <a:schemeClr val="accent5">
                <a:alpha val="80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'1.2'!$J$7:$J$52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16.267777777777777</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Energianvändning för uppvärmning och varmvatten i flerbostadshus, fr.o.m. 1983, TWh</a:t>
            </a:r>
            <a:endParaRPr lang="sv-SE" sz="1200">
              <a:effectLst/>
            </a:endParaRPr>
          </a:p>
        </c:rich>
      </c:tx>
      <c:overlay val="0"/>
    </c:title>
    <c:autoTitleDeleted val="0"/>
    <c:plotArea>
      <c:layout/>
      <c:areaChart>
        <c:grouping val="stacked"/>
        <c:varyColors val="0"/>
        <c:ser>
          <c:idx val="0"/>
          <c:order val="0"/>
          <c:tx>
            <c:strRef>
              <c:f>'3.4'!$H$7</c:f>
              <c:strCache>
                <c:ptCount val="1"/>
                <c:pt idx="0">
                  <c:v>Oil</c:v>
                </c:pt>
              </c:strCache>
            </c:strRef>
          </c:tx>
          <c:spPr>
            <a:solidFill>
              <a:schemeClr val="accent6">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'3.4'!$H$8:$H$40</c:f>
              <c:numCache>
                <c:formatCode>0.0</c:formatCode>
                <c:ptCount val="33"/>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FFFF0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'3.4'!$I$8:$I$40</c:f>
              <c:numCache>
                <c:formatCode>0.0</c:formatCode>
                <c:ptCount val="33"/>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'3.4'!$J$8:$J$40</c:f>
              <c:numCache>
                <c:formatCode>0.0</c:formatCode>
                <c:ptCount val="33"/>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2">
                <a:lumMod val="60000"/>
                <a:lumOff val="40000"/>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'3.4'!$K$8:$K$40</c:f>
              <c:numCache>
                <c:formatCode>0.0</c:formatCode>
                <c:ptCount val="33"/>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rgbClr val="92D05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'3.4'!$L$8:$L$40</c:f>
              <c:numCache>
                <c:formatCode>0.0</c:formatCode>
                <c:ptCount val="33"/>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0" i="0" baseline="0">
                <a:effectLst/>
              </a:rPr>
              <a:t>Energianvändning för uppvärmning och varmvatten i lokaler, fr.o.m. 1983, TWh</a:t>
            </a:r>
            <a:endParaRPr lang="sv-SE" sz="1200">
              <a:effectLst/>
            </a:endParaRP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Oil</c:v>
                </c:pt>
              </c:strCache>
            </c:strRef>
          </c:tx>
          <c:spPr>
            <a:solidFill>
              <a:schemeClr val="accent6">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'3.4'!$N$8:$N$40</c:f>
              <c:numCache>
                <c:formatCode>0.0</c:formatCode>
                <c:ptCount val="33"/>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FFFF0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'3.4'!$O$8:$O$40</c:f>
              <c:numCache>
                <c:formatCode>0.0</c:formatCode>
                <c:ptCount val="33"/>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'3.4'!$P$8:$P$40</c:f>
              <c:numCache>
                <c:formatCode>0.0</c:formatCode>
                <c:ptCount val="33"/>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2">
                <a:lumMod val="60000"/>
                <a:lumOff val="40000"/>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'3.4'!$Q$8:$Q$40</c:f>
              <c:numCache>
                <c:formatCode>0.0</c:formatCode>
                <c:ptCount val="33"/>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rgbClr val="92D05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'3.4'!$R$8:$R$40</c:f>
              <c:numCache>
                <c:formatCode>0.0</c:formatCode>
                <c:ptCount val="33"/>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areaChart>
        <c:grouping val="stacked"/>
        <c:varyColors val="0"/>
        <c:ser>
          <c:idx val="0"/>
          <c:order val="0"/>
          <c:tx>
            <c:strRef>
              <c:f>'3.5'!$B$6</c:f>
              <c:strCache>
                <c:ptCount val="1"/>
                <c:pt idx="0">
                  <c:v>One- and two-dwelling buildings</c:v>
                </c:pt>
              </c:strCache>
            </c:strRef>
          </c:tx>
          <c:spPr>
            <a:solidFill>
              <a:schemeClr val="accent6">
                <a:alpha val="80000"/>
              </a:schemeClr>
            </a:solidFill>
          </c:spPr>
          <c:cat>
            <c:numRef>
              <c:f>'3.5'!$A$7:$A$38</c:f>
              <c:numCache>
                <c:formatCode>0</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'3.5'!$B$7:$B$38</c:f>
              <c:numCache>
                <c:formatCode>0</c:formatCode>
                <c:ptCount val="32"/>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rgbClr val="FFFF00">
                <a:alpha val="80000"/>
              </a:srgbClr>
            </a:solidFill>
          </c:spPr>
          <c:cat>
            <c:numRef>
              <c:f>'3.5'!$A$7:$A$38</c:f>
              <c:numCache>
                <c:formatCode>0</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'3.5'!$C$7:$C$38</c:f>
              <c:numCache>
                <c:formatCode>0</c:formatCode>
                <c:ptCount val="32"/>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4">
                <a:alpha val="80000"/>
              </a:schemeClr>
            </a:solidFill>
          </c:spPr>
          <c:cat>
            <c:numRef>
              <c:f>'3.5'!$A$7:$A$38</c:f>
              <c:numCache>
                <c:formatCode>0</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'3.5'!$D$7:$D$38</c:f>
              <c:numCache>
                <c:formatCode>0</c:formatCode>
                <c:ptCount val="32"/>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Energy prices for the residential and services sector, from 1970, real (2016) prices, öre/kWh</c:v>
            </c:pt>
          </c:strCache>
        </c:strRef>
      </c:tx>
      <c:overlay val="0"/>
      <c:txPr>
        <a:bodyPr/>
        <a:lstStyle/>
        <a:p>
          <a:pPr>
            <a:defRPr sz="1200" b="0"/>
          </a:pPr>
          <a:endParaRPr lang="sv-SE"/>
        </a:p>
      </c:txPr>
    </c:title>
    <c:autoTitleDeleted val="0"/>
    <c:plotArea>
      <c:layout/>
      <c:lineChart>
        <c:grouping val="standard"/>
        <c:varyColors val="0"/>
        <c:ser>
          <c:idx val="0"/>
          <c:order val="0"/>
          <c:tx>
            <c:strRef>
              <c:f>'3.6'!$B$6</c:f>
              <c:strCache>
                <c:ptCount val="1"/>
                <c:pt idx="0">
                  <c:v>Electricity price, detached house without electric heating</c:v>
                </c:pt>
              </c:strCache>
            </c:strRef>
          </c:tx>
          <c:spPr>
            <a:ln>
              <a:solidFill>
                <a:schemeClr val="accent4">
                  <a:lumMod val="60000"/>
                  <a:lumOff val="40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'3.6'!$B$7:$B$53</c:f>
              <c:numCache>
                <c:formatCode>0</c:formatCode>
                <c:ptCount val="47"/>
                <c:pt idx="26">
                  <c:v>100.47266073871411</c:v>
                </c:pt>
                <c:pt idx="27">
                  <c:v>105.30787610619468</c:v>
                </c:pt>
                <c:pt idx="28">
                  <c:v>112.65727334696659</c:v>
                </c:pt>
                <c:pt idx="29">
                  <c:v>105.50232021709633</c:v>
                </c:pt>
                <c:pt idx="30">
                  <c:v>106.41761584956348</c:v>
                </c:pt>
                <c:pt idx="31">
                  <c:v>108.47924590163935</c:v>
                </c:pt>
                <c:pt idx="32">
                  <c:v>121.21281771501927</c:v>
                </c:pt>
                <c:pt idx="33">
                  <c:v>140.83903652392948</c:v>
                </c:pt>
                <c:pt idx="34">
                  <c:v>138.92587829360102</c:v>
                </c:pt>
                <c:pt idx="35">
                  <c:v>133.12657713928795</c:v>
                </c:pt>
                <c:pt idx="36">
                  <c:v>148.73513863216266</c:v>
                </c:pt>
                <c:pt idx="37">
                  <c:v>160.11392405063293</c:v>
                </c:pt>
                <c:pt idx="38">
                  <c:v>174.27651515151516</c:v>
                </c:pt>
                <c:pt idx="39">
                  <c:v>182.17855055523086</c:v>
                </c:pt>
                <c:pt idx="40">
                  <c:v>188.72879399884593</c:v>
                </c:pt>
                <c:pt idx="41">
                  <c:v>189.54190101237347</c:v>
                </c:pt>
                <c:pt idx="42">
                  <c:v>180.29710144927537</c:v>
                </c:pt>
                <c:pt idx="43">
                  <c:v>180.39765755716675</c:v>
                </c:pt>
                <c:pt idx="44">
                  <c:v>176.1572625698324</c:v>
                </c:pt>
                <c:pt idx="45">
                  <c:v>175.75069871436557</c:v>
                </c:pt>
                <c:pt idx="46">
                  <c:v>182.5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75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'3.6'!$C$7:$C$53</c:f>
              <c:numCache>
                <c:formatCode>0</c:formatCode>
                <c:ptCount val="47"/>
                <c:pt idx="0">
                  <c:v>58.191525423728812</c:v>
                </c:pt>
                <c:pt idx="1">
                  <c:v>55.490551181102369</c:v>
                </c:pt>
                <c:pt idx="2">
                  <c:v>54.411524163568764</c:v>
                </c:pt>
                <c:pt idx="3">
                  <c:v>52.258188153310115</c:v>
                </c:pt>
                <c:pt idx="4">
                  <c:v>60.614556962025311</c:v>
                </c:pt>
                <c:pt idx="5">
                  <c:v>63.531412103746398</c:v>
                </c:pt>
                <c:pt idx="6">
                  <c:v>64.806020942408367</c:v>
                </c:pt>
                <c:pt idx="7">
                  <c:v>67.02018779342724</c:v>
                </c:pt>
                <c:pt idx="8">
                  <c:v>75.901705756929644</c:v>
                </c:pt>
                <c:pt idx="9">
                  <c:v>70.91215139442231</c:v>
                </c:pt>
                <c:pt idx="10">
                  <c:v>74.685113835376541</c:v>
                </c:pt>
                <c:pt idx="11">
                  <c:v>70.303593750000005</c:v>
                </c:pt>
                <c:pt idx="12">
                  <c:v>69.16</c:v>
                </c:pt>
                <c:pt idx="13">
                  <c:v>69.701981505944516</c:v>
                </c:pt>
                <c:pt idx="14">
                  <c:v>68.480440097799502</c:v>
                </c:pt>
                <c:pt idx="15">
                  <c:v>70.592369020501124</c:v>
                </c:pt>
                <c:pt idx="16">
                  <c:v>71.687540983606539</c:v>
                </c:pt>
                <c:pt idx="17">
                  <c:v>69.893396226415092</c:v>
                </c:pt>
                <c:pt idx="18">
                  <c:v>63.039048562933601</c:v>
                </c:pt>
                <c:pt idx="19">
                  <c:v>65.785567970204838</c:v>
                </c:pt>
                <c:pt idx="20">
                  <c:v>72.767144060657117</c:v>
                </c:pt>
                <c:pt idx="21">
                  <c:v>75.372937548188119</c:v>
                </c:pt>
                <c:pt idx="22">
                  <c:v>76.800904295403157</c:v>
                </c:pt>
                <c:pt idx="23">
                  <c:v>78.056155507559396</c:v>
                </c:pt>
                <c:pt idx="24">
                  <c:v>77.297322057787184</c:v>
                </c:pt>
                <c:pt idx="25">
                  <c:v>77.123505154639176</c:v>
                </c:pt>
                <c:pt idx="26">
                  <c:v>78.484610123119012</c:v>
                </c:pt>
                <c:pt idx="27">
                  <c:v>86.22920353982299</c:v>
                </c:pt>
                <c:pt idx="28">
                  <c:v>90.707211997273362</c:v>
                </c:pt>
                <c:pt idx="29">
                  <c:v>91.367510176390766</c:v>
                </c:pt>
                <c:pt idx="30">
                  <c:v>88.189852249832114</c:v>
                </c:pt>
                <c:pt idx="31">
                  <c:v>88.643718032786893</c:v>
                </c:pt>
                <c:pt idx="32">
                  <c:v>100.75358793324777</c:v>
                </c:pt>
                <c:pt idx="33">
                  <c:v>116.44226070528968</c:v>
                </c:pt>
                <c:pt idx="34">
                  <c:v>126.83008782936011</c:v>
                </c:pt>
                <c:pt idx="35">
                  <c:v>122.05432854465958</c:v>
                </c:pt>
                <c:pt idx="36">
                  <c:v>126.81287738755393</c:v>
                </c:pt>
                <c:pt idx="37">
                  <c:v>128.52682338758291</c:v>
                </c:pt>
                <c:pt idx="38">
                  <c:v>138.47348484848484</c:v>
                </c:pt>
                <c:pt idx="39">
                  <c:v>145.21478667445939</c:v>
                </c:pt>
                <c:pt idx="40">
                  <c:v>149.10617426428158</c:v>
                </c:pt>
                <c:pt idx="41">
                  <c:v>147.36501687289089</c:v>
                </c:pt>
                <c:pt idx="42">
                  <c:v>136.98550724637681</c:v>
                </c:pt>
                <c:pt idx="43">
                  <c:v>136.55800334634691</c:v>
                </c:pt>
                <c:pt idx="44">
                  <c:v>129.72039106145249</c:v>
                </c:pt>
                <c:pt idx="45">
                  <c:v>125.75265511458916</c:v>
                </c:pt>
                <c:pt idx="46">
                  <c:v>129.5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6">
                  <a:lumMod val="75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'3.6'!$D$7:$D$53</c:f>
              <c:numCache>
                <c:formatCode>0</c:formatCode>
                <c:ptCount val="47"/>
                <c:pt idx="0">
                  <c:v>13.782203389830508</c:v>
                </c:pt>
                <c:pt idx="1">
                  <c:v>14.939763779527562</c:v>
                </c:pt>
                <c:pt idx="2">
                  <c:v>12.763197026022304</c:v>
                </c:pt>
                <c:pt idx="3">
                  <c:v>17.629268292682926</c:v>
                </c:pt>
                <c:pt idx="4">
                  <c:v>26.876265822784809</c:v>
                </c:pt>
                <c:pt idx="5">
                  <c:v>22.392219020172909</c:v>
                </c:pt>
                <c:pt idx="6">
                  <c:v>26.490052356020939</c:v>
                </c:pt>
                <c:pt idx="7">
                  <c:v>25.450704225352116</c:v>
                </c:pt>
                <c:pt idx="8">
                  <c:v>24.658422174840087</c:v>
                </c:pt>
                <c:pt idx="9">
                  <c:v>33.116334661354585</c:v>
                </c:pt>
                <c:pt idx="10">
                  <c:v>42.72241681260946</c:v>
                </c:pt>
                <c:pt idx="11">
                  <c:v>47.151406250000001</c:v>
                </c:pt>
                <c:pt idx="12">
                  <c:v>55.639999999999986</c:v>
                </c:pt>
                <c:pt idx="13">
                  <c:v>53.947424042272125</c:v>
                </c:pt>
                <c:pt idx="14">
                  <c:v>54.121638141809285</c:v>
                </c:pt>
                <c:pt idx="15">
                  <c:v>61.330979498861041</c:v>
                </c:pt>
                <c:pt idx="16">
                  <c:v>43.446994535519124</c:v>
                </c:pt>
                <c:pt idx="17">
                  <c:v>41.860272536687631</c:v>
                </c:pt>
                <c:pt idx="18">
                  <c:v>40.653022794846379</c:v>
                </c:pt>
                <c:pt idx="19">
                  <c:v>45.932122905027931</c:v>
                </c:pt>
                <c:pt idx="20">
                  <c:v>49.780033698399329</c:v>
                </c:pt>
                <c:pt idx="21">
                  <c:v>47.926599845797995</c:v>
                </c:pt>
                <c:pt idx="22">
                  <c:v>42.077091183119812</c:v>
                </c:pt>
                <c:pt idx="23">
                  <c:v>48.915190784737227</c:v>
                </c:pt>
                <c:pt idx="24">
                  <c:v>45.461522198731508</c:v>
                </c:pt>
                <c:pt idx="25">
                  <c:v>47.317319587628866</c:v>
                </c:pt>
                <c:pt idx="26">
                  <c:v>46.596622024623798</c:v>
                </c:pt>
                <c:pt idx="27">
                  <c:v>58.144216637168142</c:v>
                </c:pt>
                <c:pt idx="28">
                  <c:v>73.991316455351054</c:v>
                </c:pt>
                <c:pt idx="29">
                  <c:v>73.639932998643147</c:v>
                </c:pt>
                <c:pt idx="30">
                  <c:v>78.039827669576908</c:v>
                </c:pt>
                <c:pt idx="31">
                  <c:v>84.537076511475419</c:v>
                </c:pt>
                <c:pt idx="32">
                  <c:v>72.276036795014875</c:v>
                </c:pt>
                <c:pt idx="33">
                  <c:v>77.906761452096745</c:v>
                </c:pt>
                <c:pt idx="34">
                  <c:v>89.549815682343166</c:v>
                </c:pt>
                <c:pt idx="35">
                  <c:v>104.31591540881593</c:v>
                </c:pt>
                <c:pt idx="36">
                  <c:v>110.86426742461538</c:v>
                </c:pt>
                <c:pt idx="37">
                  <c:v>109.65903608862109</c:v>
                </c:pt>
                <c:pt idx="38">
                  <c:v>130.29089259428417</c:v>
                </c:pt>
                <c:pt idx="39">
                  <c:v>110.59674908734202</c:v>
                </c:pt>
                <c:pt idx="40">
                  <c:v>120.58648116520281</c:v>
                </c:pt>
                <c:pt idx="41">
                  <c:v>131.97225441040976</c:v>
                </c:pt>
                <c:pt idx="42">
                  <c:v>139.13075643920081</c:v>
                </c:pt>
                <c:pt idx="43">
                  <c:v>134.49596373763217</c:v>
                </c:pt>
                <c:pt idx="44">
                  <c:v>131.90425310912102</c:v>
                </c:pt>
                <c:pt idx="45">
                  <c:v>118.97407664369922</c:v>
                </c:pt>
                <c:pt idx="46">
                  <c:v>108.50165812481158</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chemeClr val="accent2">
                  <a:lumMod val="60000"/>
                  <a:lumOff val="40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'3.6'!$E$7:$E$53</c:f>
              <c:numCache>
                <c:formatCode>0</c:formatCode>
                <c:ptCount val="47"/>
                <c:pt idx="16">
                  <c:v>48.384153005464476</c:v>
                </c:pt>
                <c:pt idx="17">
                  <c:v>49.43679245283019</c:v>
                </c:pt>
                <c:pt idx="18">
                  <c:v>46.383845391476704</c:v>
                </c:pt>
                <c:pt idx="19">
                  <c:v>49.633612662942269</c:v>
                </c:pt>
                <c:pt idx="20">
                  <c:v>62.567565290648695</c:v>
                </c:pt>
                <c:pt idx="21">
                  <c:v>57.26114109483423</c:v>
                </c:pt>
                <c:pt idx="22">
                  <c:v>54.741070082893742</c:v>
                </c:pt>
                <c:pt idx="23">
                  <c:v>51.907343412526998</c:v>
                </c:pt>
                <c:pt idx="24">
                  <c:v>51.573995771670191</c:v>
                </c:pt>
                <c:pt idx="25">
                  <c:v>51.043092783505159</c:v>
                </c:pt>
                <c:pt idx="26">
                  <c:v>57.460622435020518</c:v>
                </c:pt>
                <c:pt idx="27">
                  <c:v>58.712123893805298</c:v>
                </c:pt>
                <c:pt idx="28">
                  <c:v>58.890708929788687</c:v>
                </c:pt>
                <c:pt idx="29">
                  <c:v>59.554993215739479</c:v>
                </c:pt>
                <c:pt idx="30">
                  <c:v>58.845822699798532</c:v>
                </c:pt>
                <c:pt idx="31">
                  <c:v>62.824354098360665</c:v>
                </c:pt>
                <c:pt idx="32">
                  <c:v>68.359807445442883</c:v>
                </c:pt>
                <c:pt idx="33">
                  <c:v>70.197625944584374</c:v>
                </c:pt>
                <c:pt idx="34">
                  <c:v>75.352126725219563</c:v>
                </c:pt>
                <c:pt idx="35">
                  <c:v>75.451561524047463</c:v>
                </c:pt>
                <c:pt idx="36">
                  <c:v>77.067492298213182</c:v>
                </c:pt>
                <c:pt idx="37">
                  <c:v>76.822007233273069</c:v>
                </c:pt>
                <c:pt idx="38">
                  <c:v>77.345075757575756</c:v>
                </c:pt>
                <c:pt idx="39">
                  <c:v>81.151303331385151</c:v>
                </c:pt>
                <c:pt idx="40">
                  <c:v>82.029249855741483</c:v>
                </c:pt>
                <c:pt idx="41">
                  <c:v>81.284510686164239</c:v>
                </c:pt>
                <c:pt idx="42">
                  <c:v>86.39152173913044</c:v>
                </c:pt>
                <c:pt idx="43">
                  <c:v>89.422816508644729</c:v>
                </c:pt>
                <c:pt idx="44">
                  <c:v>90.35</c:v>
                </c:pt>
                <c:pt idx="45">
                  <c:v>93.127669088876473</c:v>
                </c:pt>
                <c:pt idx="46">
                  <c:v>94.4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rgbClr val="FFC000"/>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'3.6'!$F$7:$F$53</c:f>
              <c:numCache>
                <c:formatCode>0</c:formatCode>
                <c:ptCount val="47"/>
                <c:pt idx="26">
                  <c:v>45.122558429997028</c:v>
                </c:pt>
                <c:pt idx="27">
                  <c:v>45.877343829098386</c:v>
                </c:pt>
                <c:pt idx="28">
                  <c:v>48.157065768825909</c:v>
                </c:pt>
                <c:pt idx="29">
                  <c:v>45.721721902948119</c:v>
                </c:pt>
                <c:pt idx="30">
                  <c:v>47.445544313544403</c:v>
                </c:pt>
                <c:pt idx="31">
                  <c:v>60.786246452970055</c:v>
                </c:pt>
                <c:pt idx="32">
                  <c:v>66.054031880779647</c:v>
                </c:pt>
                <c:pt idx="33">
                  <c:v>68.411053583499708</c:v>
                </c:pt>
                <c:pt idx="34">
                  <c:v>72.520270716531229</c:v>
                </c:pt>
                <c:pt idx="35">
                  <c:v>81.142248640229809</c:v>
                </c:pt>
                <c:pt idx="36">
                  <c:v>94.110889591140463</c:v>
                </c:pt>
                <c:pt idx="37">
                  <c:v>93.12748643761303</c:v>
                </c:pt>
                <c:pt idx="38">
                  <c:v>104.77651515151514</c:v>
                </c:pt>
                <c:pt idx="39">
                  <c:v>104.02659263588545</c:v>
                </c:pt>
                <c:pt idx="40">
                  <c:v>105.31275245239469</c:v>
                </c:pt>
                <c:pt idx="41">
                  <c:v>111.28599550056244</c:v>
                </c:pt>
                <c:pt idx="42">
                  <c:v>108.78260869565217</c:v>
                </c:pt>
                <c:pt idx="43">
                  <c:v>106.82766313441159</c:v>
                </c:pt>
                <c:pt idx="44">
                  <c:v>106.50195530726256</c:v>
                </c:pt>
                <c:pt idx="45">
                  <c:v>109.08664058133036</c:v>
                </c:pt>
                <c:pt idx="46">
                  <c:v>107.5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none"/>
        <c:minorTickMark val="none"/>
        <c:tickLblPos val="nextTo"/>
        <c:txPr>
          <a:bodyPr rot="-2700000"/>
          <a:lstStyle/>
          <a:p>
            <a:pPr>
              <a:defRPr/>
            </a:pPr>
            <a:endParaRPr lang="sv-SE"/>
          </a:p>
        </c:txPr>
        <c:crossAx val="157390720"/>
        <c:crosses val="autoZero"/>
        <c:auto val="1"/>
        <c:lblAlgn val="ctr"/>
        <c:lblOffset val="100"/>
        <c:noMultiLvlLbl val="0"/>
      </c:catAx>
      <c:valAx>
        <c:axId val="157390720"/>
        <c:scaling>
          <c:orientation val="minMax"/>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rgbClr val="00B050">
                <a:alpha val="80000"/>
              </a:srgb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'4.1'!$B$7:$B$52</c:f>
              <c:numCache>
                <c:formatCode>0.0</c:formatCode>
                <c:ptCount val="46"/>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52.990833333333327</c:v>
                </c:pt>
                <c:pt idx="36">
                  <c:v>53.305</c:v>
                </c:pt>
                <c:pt idx="37">
                  <c:v>55.093333333333327</c:v>
                </c:pt>
                <c:pt idx="38">
                  <c:v>54.157499999999999</c:v>
                </c:pt>
                <c:pt idx="39">
                  <c:v>52.617777777777775</c:v>
                </c:pt>
                <c:pt idx="40">
                  <c:v>54.421666666666667</c:v>
                </c:pt>
                <c:pt idx="41">
                  <c:v>53.971388888888889</c:v>
                </c:pt>
                <c:pt idx="42">
                  <c:v>55.175555555555555</c:v>
                </c:pt>
                <c:pt idx="43">
                  <c:v>55.329166666666666</c:v>
                </c:pt>
                <c:pt idx="44">
                  <c:v>56.402777777777771</c:v>
                </c:pt>
                <c:pt idx="45">
                  <c:v>56.738055555555555</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tx1">
                <a:lumMod val="65000"/>
                <a:lumOff val="35000"/>
                <a:alpha val="80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'4.1'!$C$7:$C$52</c:f>
              <c:numCache>
                <c:formatCode>0.0</c:formatCode>
                <c:ptCount val="46"/>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13.604722222222223</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6">
                <a:lumMod val="75000"/>
                <a:alpha val="79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'4.1'!$D$7:$D$52</c:f>
              <c:numCache>
                <c:formatCode>0.0</c:formatCode>
                <c:ptCount val="46"/>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17.396111111111111</c:v>
                </c:pt>
                <c:pt idx="36">
                  <c:v>17.452777777777776</c:v>
                </c:pt>
                <c:pt idx="37">
                  <c:v>15.790833333333332</c:v>
                </c:pt>
                <c:pt idx="38">
                  <c:v>15.934444444444443</c:v>
                </c:pt>
                <c:pt idx="39">
                  <c:v>13.277222222222223</c:v>
                </c:pt>
                <c:pt idx="40">
                  <c:v>14.337222222222223</c:v>
                </c:pt>
                <c:pt idx="41">
                  <c:v>12.489444444444443</c:v>
                </c:pt>
                <c:pt idx="42">
                  <c:v>11.800833333333333</c:v>
                </c:pt>
                <c:pt idx="43">
                  <c:v>10.146111111111111</c:v>
                </c:pt>
                <c:pt idx="44">
                  <c:v>9.01</c:v>
                </c:pt>
                <c:pt idx="45">
                  <c:v>8.4519444444444431</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2">
                <a:lumMod val="60000"/>
                <a:lumOff val="40000"/>
                <a:alpha val="80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'4.1'!$E$7:$E$52</c:f>
              <c:numCache>
                <c:formatCode>0.0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3.7388888888888885</c:v>
                </c:pt>
                <c:pt idx="41">
                  <c:v>4.1302777777777777</c:v>
                </c:pt>
                <c:pt idx="42">
                  <c:v>4.1305555555555555</c:v>
                </c:pt>
                <c:pt idx="43">
                  <c:v>3.6163888888888889</c:v>
                </c:pt>
                <c:pt idx="44">
                  <c:v>3.638611111111111</c:v>
                </c:pt>
                <c:pt idx="45">
                  <c:v>3.9147222222222222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accent5">
                <a:lumMod val="75000"/>
                <a:alpha val="80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'4.1'!$F$7:$F$52</c:f>
              <c:numCache>
                <c:formatCode>0.0</c:formatCode>
                <c:ptCount val="46"/>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4.3255555555555558</c:v>
                </c:pt>
                <c:pt idx="41">
                  <c:v>4.3111111111111109</c:v>
                </c:pt>
                <c:pt idx="42">
                  <c:v>3.8450000000000002</c:v>
                </c:pt>
                <c:pt idx="43">
                  <c:v>5.3891666666666671</c:v>
                </c:pt>
                <c:pt idx="44">
                  <c:v>5.2763888888888886</c:v>
                </c:pt>
                <c:pt idx="45">
                  <c:v>4.7405555555555559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FFFF00">
                <a:alpha val="80000"/>
              </a:srgb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'4.1'!$G$7:$G$52</c:f>
              <c:numCache>
                <c:formatCode>0.0</c:formatCode>
                <c:ptCount val="46"/>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4.527222222222222</c:v>
                </c:pt>
                <c:pt idx="41">
                  <c:v>4.1194444444444445</c:v>
                </c:pt>
                <c:pt idx="42">
                  <c:v>4.2686111111111114</c:v>
                </c:pt>
                <c:pt idx="43">
                  <c:v>4.1830555555555557</c:v>
                </c:pt>
                <c:pt idx="44">
                  <c:v>4.0438888888888886</c:v>
                </c:pt>
                <c:pt idx="45">
                  <c:v>3.846111111111111</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rgbClr val="7030A0">
                <a:alpha val="80000"/>
              </a:srgb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'4.1'!$H$7:$H$52</c:f>
              <c:numCache>
                <c:formatCode>0.0</c:formatCode>
                <c:ptCount val="46"/>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52.600833333333327</c:v>
                </c:pt>
                <c:pt idx="41">
                  <c:v>53.052500000000002</c:v>
                </c:pt>
                <c:pt idx="42">
                  <c:v>52.494999999999997</c:v>
                </c:pt>
                <c:pt idx="43">
                  <c:v>50.951388888888893</c:v>
                </c:pt>
                <c:pt idx="44">
                  <c:v>49.651666666666664</c:v>
                </c:pt>
                <c:pt idx="45">
                  <c:v>49.081666666666663</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rgbClr val="92D050">
                <a:alpha val="80000"/>
              </a:srgb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'4.2'!$B$7:$B$32</c:f>
              <c:numCache>
                <c:formatCode>0.0</c:formatCode>
                <c:ptCount val="26"/>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73.687777777777782</c:v>
                </c:pt>
                <c:pt idx="20">
                  <c:v>75.534444444444446</c:v>
                </c:pt>
                <c:pt idx="21">
                  <c:v>74.971944444444446</c:v>
                </c:pt>
                <c:pt idx="22">
                  <c:v>75.754722222222227</c:v>
                </c:pt>
                <c:pt idx="23">
                  <c:v>74.11055555555555</c:v>
                </c:pt>
                <c:pt idx="24">
                  <c:v>73.316944444444445</c:v>
                </c:pt>
                <c:pt idx="25">
                  <c:v>73.421666666666667</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lumMod val="75000"/>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'4.2'!$C$7:$C$32</c:f>
              <c:numCache>
                <c:formatCode>0.0</c:formatCode>
                <c:ptCount val="26"/>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17.06861111111111</c:v>
                </c:pt>
                <c:pt idx="20">
                  <c:v>24.578333333333333</c:v>
                </c:pt>
                <c:pt idx="21">
                  <c:v>24.767222222222223</c:v>
                </c:pt>
                <c:pt idx="22">
                  <c:v>22.579444444444444</c:v>
                </c:pt>
                <c:pt idx="23">
                  <c:v>22.538611111111113</c:v>
                </c:pt>
                <c:pt idx="24">
                  <c:v>22.406111111111112</c:v>
                </c:pt>
                <c:pt idx="25">
                  <c:v>21.498333333333335</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6">
                <a:lumMod val="75000"/>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'4.2'!$D$7:$D$32</c:f>
              <c:numCache>
                <c:formatCode>0.0</c:formatCode>
                <c:ptCount val="26"/>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13.643888888888888</c:v>
                </c:pt>
                <c:pt idx="19">
                  <c:v>11.666666666666666</c:v>
                </c:pt>
                <c:pt idx="20">
                  <c:v>12.551666666666666</c:v>
                </c:pt>
                <c:pt idx="21">
                  <c:v>12.192500000000001</c:v>
                </c:pt>
                <c:pt idx="22">
                  <c:v>11.695555555555556</c:v>
                </c:pt>
                <c:pt idx="23">
                  <c:v>12.897222222222222</c:v>
                </c:pt>
                <c:pt idx="24">
                  <c:v>12.322222222222223</c:v>
                </c:pt>
                <c:pt idx="25">
                  <c:v>11.877222222222223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2">
                <a:lumMod val="60000"/>
                <a:lumOff val="40000"/>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'4.2'!$E$7:$E$32</c:f>
              <c:numCache>
                <c:formatCode>0.0</c:formatCode>
                <c:ptCount val="26"/>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10.529166666666667</c:v>
                </c:pt>
                <c:pt idx="17">
                  <c:v>10.34</c:v>
                </c:pt>
                <c:pt idx="18">
                  <c:v>9.4455555555555559</c:v>
                </c:pt>
                <c:pt idx="19">
                  <c:v>8.0863888888888891</c:v>
                </c:pt>
                <c:pt idx="20">
                  <c:v>8.8916666666666675</c:v>
                </c:pt>
                <c:pt idx="21">
                  <c:v>8.2311111111111117</c:v>
                </c:pt>
                <c:pt idx="22">
                  <c:v>8.1891666666666669</c:v>
                </c:pt>
                <c:pt idx="23">
                  <c:v>7.9802777777777774</c:v>
                </c:pt>
                <c:pt idx="24">
                  <c:v>8.0186111111111114</c:v>
                </c:pt>
                <c:pt idx="25">
                  <c:v>7.7474999999999996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'4.2'!$F$7:$F$32</c:f>
              <c:numCache>
                <c:formatCode>0.0</c:formatCode>
                <c:ptCount val="26"/>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3.9636111111111112</c:v>
                </c:pt>
                <c:pt idx="16">
                  <c:v>4.014444444444444</c:v>
                </c:pt>
                <c:pt idx="17">
                  <c:v>4.365277777777778</c:v>
                </c:pt>
                <c:pt idx="18">
                  <c:v>4.6327777777777781</c:v>
                </c:pt>
                <c:pt idx="19">
                  <c:v>3.9105555555555553</c:v>
                </c:pt>
                <c:pt idx="20">
                  <c:v>5.2705555555555552</c:v>
                </c:pt>
                <c:pt idx="21">
                  <c:v>5.4094444444444445</c:v>
                </c:pt>
                <c:pt idx="22">
                  <c:v>5.3902777777777775</c:v>
                </c:pt>
                <c:pt idx="23">
                  <c:v>5.6688888888888886</c:v>
                </c:pt>
                <c:pt idx="24">
                  <c:v>5.6069444444444443</c:v>
                </c:pt>
                <c:pt idx="25">
                  <c:v>5.5102777777777776</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'4.2'!$G$7:$G$32</c:f>
              <c:numCache>
                <c:formatCode>0.0</c:formatCode>
                <c:ptCount val="26"/>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5.3947222222222226</c:v>
                </c:pt>
                <c:pt idx="17">
                  <c:v>5.4319444444444445</c:v>
                </c:pt>
                <c:pt idx="18">
                  <c:v>5.2038888888888888</c:v>
                </c:pt>
                <c:pt idx="19">
                  <c:v>5.2119444444444447</c:v>
                </c:pt>
                <c:pt idx="20">
                  <c:v>5.2319444444444443</c:v>
                </c:pt>
                <c:pt idx="21">
                  <c:v>5.2777777777777777</c:v>
                </c:pt>
                <c:pt idx="22">
                  <c:v>5.2058333333333335</c:v>
                </c:pt>
                <c:pt idx="23">
                  <c:v>5.0869444444444447</c:v>
                </c:pt>
                <c:pt idx="24">
                  <c:v>5.190833333333333</c:v>
                </c:pt>
                <c:pt idx="25">
                  <c:v>4.7149999999999999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'4.2'!$H$7:$H$32</c:f>
              <c:numCache>
                <c:formatCode>0.0</c:formatCode>
                <c:ptCount val="26"/>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6.0827777777777774</c:v>
                </c:pt>
                <c:pt idx="19">
                  <c:v>5.1219444444444449</c:v>
                </c:pt>
                <c:pt idx="20">
                  <c:v>5.7680555555555557</c:v>
                </c:pt>
                <c:pt idx="21">
                  <c:v>5.9841666666666669</c:v>
                </c:pt>
                <c:pt idx="22">
                  <c:v>5.8702777777777779</c:v>
                </c:pt>
                <c:pt idx="23">
                  <c:v>4.9397222222222226</c:v>
                </c:pt>
                <c:pt idx="24">
                  <c:v>4.8555555555555552</c:v>
                </c:pt>
                <c:pt idx="25">
                  <c:v>5.0297222222222224</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ln w="25400">
              <a:noFill/>
            </a:ln>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'4.2'!$I$7:$I$32</c:f>
              <c:numCache>
                <c:formatCode>0.0</c:formatCode>
                <c:ptCount val="26"/>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7.7397222222222224</c:v>
                </c:pt>
                <c:pt idx="25">
                  <c:v>7.6574999999999998</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ln w="25400">
              <a:noFill/>
            </a:ln>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'4.2'!$J$7:$J$32</c:f>
              <c:numCache>
                <c:formatCode>0.0</c:formatCode>
                <c:ptCount val="26"/>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4.0472222222222225</c:v>
                </c:pt>
                <c:pt idx="19">
                  <c:v>3.8783333333333334</c:v>
                </c:pt>
                <c:pt idx="20">
                  <c:v>3.4272222222222224</c:v>
                </c:pt>
                <c:pt idx="21">
                  <c:v>3.28</c:v>
                </c:pt>
                <c:pt idx="22">
                  <c:v>3.2961111111111112</c:v>
                </c:pt>
                <c:pt idx="23">
                  <c:v>3.1077777777777778</c:v>
                </c:pt>
                <c:pt idx="24">
                  <c:v>3.1052777777777778</c:v>
                </c:pt>
                <c:pt idx="25">
                  <c:v>2.9191666666666665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7828910638506634"/>
          <c:w val="0.1497720423835909"/>
          <c:h val="0.67304182304314764"/>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(2015)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accent4"/>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'4.6'!$E$7:$E$41</c:f>
              <c:numCache>
                <c:formatCode>0.00</c:formatCode>
                <c:ptCount val="35"/>
                <c:pt idx="0">
                  <c:v>0.61019755049427826</c:v>
                </c:pt>
                <c:pt idx="1">
                  <c:v>0.57086215302448173</c:v>
                </c:pt>
                <c:pt idx="2">
                  <c:v>0.54501816374438961</c:v>
                </c:pt>
                <c:pt idx="3">
                  <c:v>0.51987287242572722</c:v>
                </c:pt>
                <c:pt idx="4">
                  <c:v>0.5201948852044056</c:v>
                </c:pt>
                <c:pt idx="5">
                  <c:v>0.511320504538605</c:v>
                </c:pt>
                <c:pt idx="6">
                  <c:v>0.51068343262116112</c:v>
                </c:pt>
                <c:pt idx="7">
                  <c:v>0.50099918424395151</c:v>
                </c:pt>
                <c:pt idx="8">
                  <c:v>0.49617484610728863</c:v>
                </c:pt>
                <c:pt idx="9">
                  <c:v>0.4998419692168693</c:v>
                </c:pt>
                <c:pt idx="10">
                  <c:v>0.50161121475075232</c:v>
                </c:pt>
                <c:pt idx="11">
                  <c:v>0.51143464229425684</c:v>
                </c:pt>
                <c:pt idx="12">
                  <c:v>0.52071931354632961</c:v>
                </c:pt>
                <c:pt idx="13">
                  <c:v>0.46465166922310425</c:v>
                </c:pt>
                <c:pt idx="14">
                  <c:v>0.4270791187662456</c:v>
                </c:pt>
                <c:pt idx="15">
                  <c:v>0.41892916610347858</c:v>
                </c:pt>
                <c:pt idx="16">
                  <c:v>0.39746256220914644</c:v>
                </c:pt>
                <c:pt idx="17">
                  <c:v>0.3644724505901657</c:v>
                </c:pt>
                <c:pt idx="18">
                  <c:v>0.33978198195871101</c:v>
                </c:pt>
                <c:pt idx="19">
                  <c:v>0.31096012509300652</c:v>
                </c:pt>
                <c:pt idx="20">
                  <c:v>0.31141872722413211</c:v>
                </c:pt>
                <c:pt idx="21">
                  <c:v>0.30174409889645681</c:v>
                </c:pt>
                <c:pt idx="22">
                  <c:v>0.29427611306783685</c:v>
                </c:pt>
                <c:pt idx="23">
                  <c:v>0.26955110723194564</c:v>
                </c:pt>
                <c:pt idx="24">
                  <c:v>0.25710737915317361</c:v>
                </c:pt>
                <c:pt idx="25">
                  <c:v>0.24058993407344176</c:v>
                </c:pt>
                <c:pt idx="26">
                  <c:v>0.23509524702743184</c:v>
                </c:pt>
                <c:pt idx="27">
                  <c:v>0.23536894606931236</c:v>
                </c:pt>
                <c:pt idx="28">
                  <c:v>0.25936768148491668</c:v>
                </c:pt>
                <c:pt idx="29">
                  <c:v>0.23002314164299892</c:v>
                </c:pt>
                <c:pt idx="30">
                  <c:v>0.21858670803071553</c:v>
                </c:pt>
                <c:pt idx="31">
                  <c:v>0.23184633596601534</c:v>
                </c:pt>
                <c:pt idx="32">
                  <c:v>0.23112401770196764</c:v>
                </c:pt>
                <c:pt idx="33">
                  <c:v>0.23080649210121326</c:v>
                </c:pt>
                <c:pt idx="34">
                  <c:v>0.2178963738380168</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3"/>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'4.6'!$D$7:$D$41</c:f>
              <c:numCache>
                <c:formatCode>0.00</c:formatCode>
                <c:ptCount val="35"/>
                <c:pt idx="0">
                  <c:v>0.15299284514573111</c:v>
                </c:pt>
                <c:pt idx="1">
                  <c:v>0.14439191497800122</c:v>
                </c:pt>
                <c:pt idx="2">
                  <c:v>0.15606827722941544</c:v>
                </c:pt>
                <c:pt idx="3">
                  <c:v>0.15483682592716713</c:v>
                </c:pt>
                <c:pt idx="4">
                  <c:v>0.15204600545118313</c:v>
                </c:pt>
                <c:pt idx="5">
                  <c:v>0.15133450547853564</c:v>
                </c:pt>
                <c:pt idx="6">
                  <c:v>0.15154747177289651</c:v>
                </c:pt>
                <c:pt idx="7">
                  <c:v>0.15248749115012861</c:v>
                </c:pt>
                <c:pt idx="8">
                  <c:v>0.1520901785253688</c:v>
                </c:pt>
                <c:pt idx="9">
                  <c:v>0.15249951059035374</c:v>
                </c:pt>
                <c:pt idx="10">
                  <c:v>0.16489769965208492</c:v>
                </c:pt>
                <c:pt idx="11">
                  <c:v>0.17096202133938496</c:v>
                </c:pt>
                <c:pt idx="12">
                  <c:v>0.17596438631975683</c:v>
                </c:pt>
                <c:pt idx="13">
                  <c:v>0.15481522049209318</c:v>
                </c:pt>
                <c:pt idx="14">
                  <c:v>0.1435270982733956</c:v>
                </c:pt>
                <c:pt idx="15">
                  <c:v>0.13785524098961205</c:v>
                </c:pt>
                <c:pt idx="16">
                  <c:v>0.13409077122972524</c:v>
                </c:pt>
                <c:pt idx="17">
                  <c:v>0.1240296014475798</c:v>
                </c:pt>
                <c:pt idx="18">
                  <c:v>0.11590441038733132</c:v>
                </c:pt>
                <c:pt idx="19">
                  <c:v>0.10488300569724801</c:v>
                </c:pt>
                <c:pt idx="20">
                  <c:v>0.10364352444922556</c:v>
                </c:pt>
                <c:pt idx="21">
                  <c:v>0.10574683306286271</c:v>
                </c:pt>
                <c:pt idx="22">
                  <c:v>0.10367047045048608</c:v>
                </c:pt>
                <c:pt idx="23">
                  <c:v>9.5182579283880034E-2</c:v>
                </c:pt>
                <c:pt idx="24">
                  <c:v>9.757142256270436E-2</c:v>
                </c:pt>
                <c:pt idx="25">
                  <c:v>8.9709166637461049E-2</c:v>
                </c:pt>
                <c:pt idx="26">
                  <c:v>8.9574973533164598E-2</c:v>
                </c:pt>
                <c:pt idx="27">
                  <c:v>9.012329076734199E-2</c:v>
                </c:pt>
                <c:pt idx="28">
                  <c:v>0.10657333611698527</c:v>
                </c:pt>
                <c:pt idx="29">
                  <c:v>9.0427911961941901E-2</c:v>
                </c:pt>
                <c:pt idx="30">
                  <c:v>8.6179229963472492E-2</c:v>
                </c:pt>
                <c:pt idx="31">
                  <c:v>9.3839304754403496E-2</c:v>
                </c:pt>
                <c:pt idx="32">
                  <c:v>9.761241075156657E-2</c:v>
                </c:pt>
                <c:pt idx="33">
                  <c:v>9.9856064474836789E-2</c:v>
                </c:pt>
                <c:pt idx="34">
                  <c:v>9.5427970450671584E-2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2"/>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'4.6'!$C$7:$C$41</c:f>
              <c:numCache>
                <c:formatCode>0.00</c:formatCode>
                <c:ptCount val="35"/>
                <c:pt idx="0">
                  <c:v>0.17693955134245423</c:v>
                </c:pt>
                <c:pt idx="1">
                  <c:v>0.17479021286810675</c:v>
                </c:pt>
                <c:pt idx="2">
                  <c:v>0.17777086027967751</c:v>
                </c:pt>
                <c:pt idx="3">
                  <c:v>0.17563686753349636</c:v>
                </c:pt>
                <c:pt idx="4">
                  <c:v>0.17893608788521906</c:v>
                </c:pt>
                <c:pt idx="5">
                  <c:v>0.1771441575605365</c:v>
                </c:pt>
                <c:pt idx="6">
                  <c:v>0.18458039016879441</c:v>
                </c:pt>
                <c:pt idx="7">
                  <c:v>0.18578640104725158</c:v>
                </c:pt>
                <c:pt idx="8">
                  <c:v>0.18762297023853569</c:v>
                </c:pt>
                <c:pt idx="9">
                  <c:v>0.18887629434787007</c:v>
                </c:pt>
                <c:pt idx="10">
                  <c:v>0.1885147220480477</c:v>
                </c:pt>
                <c:pt idx="11">
                  <c:v>0.19198585127365328</c:v>
                </c:pt>
                <c:pt idx="12">
                  <c:v>0.18991265797196538</c:v>
                </c:pt>
                <c:pt idx="13">
                  <c:v>0.16540949636713057</c:v>
                </c:pt>
                <c:pt idx="14">
                  <c:v>0.15018477412913309</c:v>
                </c:pt>
                <c:pt idx="15">
                  <c:v>0.1458032601517634</c:v>
                </c:pt>
                <c:pt idx="16">
                  <c:v>0.13706585824475603</c:v>
                </c:pt>
                <c:pt idx="17">
                  <c:v>0.12908271697893944</c:v>
                </c:pt>
                <c:pt idx="18">
                  <c:v>0.12104219015204896</c:v>
                </c:pt>
                <c:pt idx="19">
                  <c:v>0.11549818393236802</c:v>
                </c:pt>
                <c:pt idx="20">
                  <c:v>0.11523390682479989</c:v>
                </c:pt>
                <c:pt idx="21">
                  <c:v>0.10912089400010458</c:v>
                </c:pt>
                <c:pt idx="22">
                  <c:v>0.10223632894979166</c:v>
                </c:pt>
                <c:pt idx="23">
                  <c:v>9.5211716174528047E-2</c:v>
                </c:pt>
                <c:pt idx="24">
                  <c:v>9.1750591427332814E-2</c:v>
                </c:pt>
                <c:pt idx="25">
                  <c:v>8.7006130007431223E-2</c:v>
                </c:pt>
                <c:pt idx="26">
                  <c:v>8.4818653237565877E-2</c:v>
                </c:pt>
                <c:pt idx="27">
                  <c:v>8.450386241680935E-2</c:v>
                </c:pt>
                <c:pt idx="28">
                  <c:v>9.3863677056658518E-2</c:v>
                </c:pt>
                <c:pt idx="29">
                  <c:v>8.0966952067942702E-2</c:v>
                </c:pt>
                <c:pt idx="30">
                  <c:v>7.8445907393078967E-2</c:v>
                </c:pt>
                <c:pt idx="31">
                  <c:v>8.3464044970663162E-2</c:v>
                </c:pt>
                <c:pt idx="32">
                  <c:v>8.1910810583047861E-2</c:v>
                </c:pt>
                <c:pt idx="33">
                  <c:v>8.0384030717283325E-2</c:v>
                </c:pt>
                <c:pt idx="34">
                  <c:v>7.6185257794314024E-2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1"/>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'4.6'!$B$7:$B$41</c:f>
              <c:numCache>
                <c:formatCode>0.00</c:formatCode>
                <c:ptCount val="35"/>
                <c:pt idx="0">
                  <c:v>0.21197269559321585</c:v>
                </c:pt>
                <c:pt idx="1">
                  <c:v>0.18238978734063316</c:v>
                </c:pt>
                <c:pt idx="2">
                  <c:v>0.142824740483315</c:v>
                </c:pt>
                <c:pt idx="3">
                  <c:v>0.12221406708621146</c:v>
                </c:pt>
                <c:pt idx="4">
                  <c:v>0.11538426433389123</c:v>
                </c:pt>
                <c:pt idx="5">
                  <c:v>0.10605728137825568</c:v>
                </c:pt>
                <c:pt idx="6">
                  <c:v>9.7812975363118185E-2</c:v>
                </c:pt>
                <c:pt idx="7">
                  <c:v>8.4490694519805287E-2</c:v>
                </c:pt>
                <c:pt idx="8">
                  <c:v>7.7954380118162386E-2</c:v>
                </c:pt>
                <c:pt idx="9">
                  <c:v>7.4070474515690224E-2</c:v>
                </c:pt>
                <c:pt idx="10">
                  <c:v>6.7608230090023522E-2</c:v>
                </c:pt>
                <c:pt idx="11">
                  <c:v>6.720530731499702E-2</c:v>
                </c:pt>
                <c:pt idx="12">
                  <c:v>7.3034450060945472E-2</c:v>
                </c:pt>
                <c:pt idx="13">
                  <c:v>7.20128072981506E-2</c:v>
                </c:pt>
                <c:pt idx="14">
                  <c:v>6.6937459166412999E-2</c:v>
                </c:pt>
                <c:pt idx="15">
                  <c:v>6.8733552803357398E-2</c:v>
                </c:pt>
                <c:pt idx="16">
                  <c:v>6.7089760764548811E-2</c:v>
                </c:pt>
                <c:pt idx="17">
                  <c:v>5.7649560232421009E-2</c:v>
                </c:pt>
                <c:pt idx="18">
                  <c:v>5.3347253854326419E-2</c:v>
                </c:pt>
                <c:pt idx="19">
                  <c:v>4.3821549588187937E-2</c:v>
                </c:pt>
                <c:pt idx="20">
                  <c:v>4.1362191889029787E-2</c:v>
                </c:pt>
                <c:pt idx="21">
                  <c:v>3.7222508412508806E-2</c:v>
                </c:pt>
                <c:pt idx="22">
                  <c:v>4.0031431039103255E-2</c:v>
                </c:pt>
                <c:pt idx="23">
                  <c:v>3.3659795853665325E-2</c:v>
                </c:pt>
                <c:pt idx="24">
                  <c:v>2.8874088767032045E-2</c:v>
                </c:pt>
                <c:pt idx="25">
                  <c:v>2.6872118902654007E-2</c:v>
                </c:pt>
                <c:pt idx="26">
                  <c:v>2.3310849197680884E-2</c:v>
                </c:pt>
                <c:pt idx="27">
                  <c:v>2.4275388801864174E-2</c:v>
                </c:pt>
                <c:pt idx="28">
                  <c:v>2.5158250870315112E-2</c:v>
                </c:pt>
                <c:pt idx="29">
                  <c:v>2.206887440542659E-2</c:v>
                </c:pt>
                <c:pt idx="30">
                  <c:v>1.8467476599215746E-2</c:v>
                </c:pt>
                <c:pt idx="31">
                  <c:v>1.8762649471847494E-2</c:v>
                </c:pt>
                <c:pt idx="32">
                  <c:v>1.6311158606277257E-2</c:v>
                </c:pt>
                <c:pt idx="33">
                  <c:v>1.4586823874916372E-2</c:v>
                </c:pt>
                <c:pt idx="34">
                  <c:v>1.311922781140046E-2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18920752"/>
        <c:crosses val="autoZero"/>
        <c:auto val="1"/>
        <c:lblAlgn val="ctr"/>
        <c:lblOffset val="100"/>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from 1986, real (2015)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6">
                  <a:lumMod val="75000"/>
                </a:schemeClr>
              </a:solidFill>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'4.7'!$B$7:$B$36</c:f>
              <c:numCache>
                <c:formatCode>0</c:formatCode>
                <c:ptCount val="30"/>
                <c:pt idx="10">
                  <c:v>15.769386931895836</c:v>
                </c:pt>
                <c:pt idx="11">
                  <c:v>18.412509631401651</c:v>
                </c:pt>
                <c:pt idx="12">
                  <c:v>17.709243508469946</c:v>
                </c:pt>
                <c:pt idx="13">
                  <c:v>13.489609804853611</c:v>
                </c:pt>
                <c:pt idx="14">
                  <c:v>19.025822316246408</c:v>
                </c:pt>
                <c:pt idx="15">
                  <c:v>30.025817156477583</c:v>
                </c:pt>
                <c:pt idx="16">
                  <c:v>22.75371681626789</c:v>
                </c:pt>
                <c:pt idx="17">
                  <c:v>25.559231359453936</c:v>
                </c:pt>
                <c:pt idx="18">
                  <c:v>23.314277128473694</c:v>
                </c:pt>
                <c:pt idx="19">
                  <c:v>29.684204475595656</c:v>
                </c:pt>
                <c:pt idx="20">
                  <c:v>38.115856777738891</c:v>
                </c:pt>
                <c:pt idx="21">
                  <c:v>30.051646070703249</c:v>
                </c:pt>
                <c:pt idx="22">
                  <c:v>39.824900499168059</c:v>
                </c:pt>
                <c:pt idx="23">
                  <c:v>31.078947995050335</c:v>
                </c:pt>
                <c:pt idx="24">
                  <c:v>35.464598141964487</c:v>
                </c:pt>
                <c:pt idx="25">
                  <c:v>35.561924027871434</c:v>
                </c:pt>
                <c:pt idx="26">
                  <c:v>35.651247612985358</c:v>
                </c:pt>
                <c:pt idx="27">
                  <c:v>34.055065910972424</c:v>
                </c:pt>
                <c:pt idx="28">
                  <c:v>30.382286516316313</c:v>
                </c:pt>
                <c:pt idx="29">
                  <c:v>31.001758417105474</c:v>
                </c:pt>
              </c:numCache>
            </c:numRef>
          </c:val>
          <c:smooth val="0"/>
          <c:extLst>
            <c:ext xmlns:c16="http://schemas.microsoft.com/office/drawing/2014/chart" uri="{C3380CC4-5D6E-409C-BE32-E72D297353CC}">
              <c16:uniqueId val="{00000000-14EF-44AF-AC19-A4223B86F09A}"/>
            </c:ext>
          </c:extLst>
        </c:ser>
        <c:ser>
          <c:idx val="1"/>
          <c:order val="1"/>
          <c:tx>
            <c:strRef>
              <c:f>'4.7'!$C$6</c:f>
              <c:strCache>
                <c:ptCount val="1"/>
                <c:pt idx="0">
                  <c:v>Electricity</c:v>
                </c:pt>
              </c:strCache>
            </c:strRef>
          </c:tx>
          <c:spPr>
            <a:ln>
              <a:solidFill>
                <a:srgbClr val="7030A0"/>
              </a:solidFill>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'4.7'!$C$7:$C$36</c:f>
              <c:numCache>
                <c:formatCode>0</c:formatCode>
                <c:ptCount val="30"/>
                <c:pt idx="0">
                  <c:v>47.38749532010484</c:v>
                </c:pt>
                <c:pt idx="1">
                  <c:v>45.483140683955206</c:v>
                </c:pt>
                <c:pt idx="2">
                  <c:v>43.694917940011315</c:v>
                </c:pt>
                <c:pt idx="3">
                  <c:v>47.444310931518501</c:v>
                </c:pt>
                <c:pt idx="4">
                  <c:v>43.4447201079102</c:v>
                </c:pt>
                <c:pt idx="5">
                  <c:v>43.178668896909947</c:v>
                </c:pt>
                <c:pt idx="6">
                  <c:v>43.808779774701179</c:v>
                </c:pt>
                <c:pt idx="7">
                  <c:v>36.115917395409951</c:v>
                </c:pt>
                <c:pt idx="8">
                  <c:v>36.624136960977374</c:v>
                </c:pt>
                <c:pt idx="9">
                  <c:v>35.746387385267127</c:v>
                </c:pt>
                <c:pt idx="10">
                  <c:v>34.198638314475218</c:v>
                </c:pt>
                <c:pt idx="11">
                  <c:v>37.899480600023246</c:v>
                </c:pt>
                <c:pt idx="12">
                  <c:v>34.803610571317535</c:v>
                </c:pt>
                <c:pt idx="13">
                  <c:v>30.481283608650237</c:v>
                </c:pt>
                <c:pt idx="14">
                  <c:v>30.185876308423758</c:v>
                </c:pt>
                <c:pt idx="15">
                  <c:v>33.646381369575799</c:v>
                </c:pt>
                <c:pt idx="16">
                  <c:v>35.835393073117096</c:v>
                </c:pt>
                <c:pt idx="17">
                  <c:v>69.405019596562511</c:v>
                </c:pt>
                <c:pt idx="18">
                  <c:v>46.703861861431548</c:v>
                </c:pt>
                <c:pt idx="19">
                  <c:v>39.608762169680112</c:v>
                </c:pt>
                <c:pt idx="20">
                  <c:v>53.662395327563154</c:v>
                </c:pt>
                <c:pt idx="21">
                  <c:v>46.836563285256965</c:v>
                </c:pt>
                <c:pt idx="22">
                  <c:v>54.756605657237941</c:v>
                </c:pt>
                <c:pt idx="23">
                  <c:v>57.145981739741153</c:v>
                </c:pt>
                <c:pt idx="24">
                  <c:v>66.953813601348884</c:v>
                </c:pt>
                <c:pt idx="25">
                  <c:v>60.963298333493888</c:v>
                </c:pt>
                <c:pt idx="26">
                  <c:v>48.340674729471672</c:v>
                </c:pt>
                <c:pt idx="27">
                  <c:v>47.284652980322221</c:v>
                </c:pt>
                <c:pt idx="28">
                  <c:v>44.412644741459061</c:v>
                </c:pt>
                <c:pt idx="29">
                  <c:v>38.373512047231529</c:v>
                </c:pt>
              </c:numCache>
            </c:numRef>
          </c:val>
          <c:smooth val="0"/>
          <c:extLst>
            <c:ext xmlns:c16="http://schemas.microsoft.com/office/drawing/2014/chart" uri="{C3380CC4-5D6E-409C-BE32-E72D297353CC}">
              <c16:uniqueId val="{00000001-14EF-44AF-AC19-A4223B86F09A}"/>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'4.7'!$D$7:$D$36</c:f>
              <c:numCache>
                <c:formatCode>0</c:formatCode>
                <c:ptCount val="30"/>
                <c:pt idx="11">
                  <c:v>15.849693745563739</c:v>
                </c:pt>
                <c:pt idx="12">
                  <c:v>15.949133410241071</c:v>
                </c:pt>
                <c:pt idx="13">
                  <c:v>15.103896707495977</c:v>
                </c:pt>
                <c:pt idx="14">
                  <c:v>15.47939956442171</c:v>
                </c:pt>
                <c:pt idx="15">
                  <c:v>16.678181191591154</c:v>
                </c:pt>
                <c:pt idx="16">
                  <c:v>15.556528191061815</c:v>
                </c:pt>
                <c:pt idx="17">
                  <c:v>14.970329818869967</c:v>
                </c:pt>
                <c:pt idx="18">
                  <c:v>15.66032045515459</c:v>
                </c:pt>
                <c:pt idx="19">
                  <c:v>17.132062881657223</c:v>
                </c:pt>
                <c:pt idx="20">
                  <c:v>17.189131779577558</c:v>
                </c:pt>
                <c:pt idx="21">
                  <c:v>17.542387830451069</c:v>
                </c:pt>
                <c:pt idx="22">
                  <c:v>26.365545198038546</c:v>
                </c:pt>
                <c:pt idx="23">
                  <c:v>21.835689034837895</c:v>
                </c:pt>
              </c:numCache>
            </c:numRef>
          </c:val>
          <c:smooth val="0"/>
          <c:extLst>
            <c:ext xmlns:c16="http://schemas.microsoft.com/office/drawing/2014/chart" uri="{C3380CC4-5D6E-409C-BE32-E72D297353CC}">
              <c16:uniqueId val="{00000002-14EF-44AF-AC19-A4223B86F09A}"/>
            </c:ext>
          </c:extLst>
        </c:ser>
        <c:ser>
          <c:idx val="3"/>
          <c:order val="3"/>
          <c:tx>
            <c:strRef>
              <c:f>'4.7'!$E$6</c:f>
              <c:strCache>
                <c:ptCount val="1"/>
                <c:pt idx="0">
                  <c:v>Wood chips</c:v>
                </c:pt>
              </c:strCache>
            </c:strRef>
          </c:tx>
          <c:spPr>
            <a:ln>
              <a:solidFill>
                <a:srgbClr val="C00000"/>
              </a:solidFill>
              <a:prstDash val="sysDot"/>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'4.7'!$E$7:$E$36</c:f>
              <c:numCache>
                <c:formatCode>0</c:formatCode>
                <c:ptCount val="30"/>
                <c:pt idx="7">
                  <c:v>12.471683704889768</c:v>
                </c:pt>
                <c:pt idx="8">
                  <c:v>12.462379938110356</c:v>
                </c:pt>
                <c:pt idx="9">
                  <c:v>12.78429826625873</c:v>
                </c:pt>
                <c:pt idx="10">
                  <c:v>12.963382754584471</c:v>
                </c:pt>
                <c:pt idx="11">
                  <c:v>13.859680607775493</c:v>
                </c:pt>
                <c:pt idx="12">
                  <c:v>13.281943256898563</c:v>
                </c:pt>
                <c:pt idx="13">
                  <c:v>13.220797709776008</c:v>
                </c:pt>
                <c:pt idx="14">
                  <c:v>13.103193895939574</c:v>
                </c:pt>
                <c:pt idx="15">
                  <c:v>13.268995469691866</c:v>
                </c:pt>
                <c:pt idx="16">
                  <c:v>14.264573941726223</c:v>
                </c:pt>
                <c:pt idx="17">
                  <c:v>14.905012405163427</c:v>
                </c:pt>
                <c:pt idx="18">
                  <c:v>14.16986100164792</c:v>
                </c:pt>
                <c:pt idx="19">
                  <c:v>13.654302628294284</c:v>
                </c:pt>
                <c:pt idx="20">
                  <c:v>13.248599676307084</c:v>
                </c:pt>
                <c:pt idx="21">
                  <c:v>13.942046745378818</c:v>
                </c:pt>
                <c:pt idx="22">
                  <c:v>15.373970049916808</c:v>
                </c:pt>
                <c:pt idx="23">
                  <c:v>18.625357011471191</c:v>
                </c:pt>
                <c:pt idx="24">
                  <c:v>20.923066750421526</c:v>
                </c:pt>
                <c:pt idx="25">
                  <c:v>20.219493947275474</c:v>
                </c:pt>
                <c:pt idx="26">
                  <c:v>19.034140674729475</c:v>
                </c:pt>
                <c:pt idx="27">
                  <c:v>19.848662675921801</c:v>
                </c:pt>
                <c:pt idx="28">
                  <c:v>19.077249673035826</c:v>
                </c:pt>
                <c:pt idx="29">
                  <c:v>18.479875538535186</c:v>
                </c:pt>
              </c:numCache>
            </c:numRef>
          </c:val>
          <c:smooth val="0"/>
          <c:extLst>
            <c:ext xmlns:c16="http://schemas.microsoft.com/office/drawing/2014/chart" uri="{C3380CC4-5D6E-409C-BE32-E72D297353CC}">
              <c16:uniqueId val="{00000003-14EF-44AF-AC19-A4223B86F09A}"/>
            </c:ext>
          </c:extLst>
        </c:ser>
        <c:ser>
          <c:idx val="4"/>
          <c:order val="4"/>
          <c:tx>
            <c:strRef>
              <c:f>'4.7'!$F$6</c:f>
              <c:strCache>
                <c:ptCount val="1"/>
                <c:pt idx="0">
                  <c:v>Light fuel oil</c:v>
                </c:pt>
              </c:strCache>
            </c:strRef>
          </c:tx>
          <c:spPr>
            <a:ln>
              <a:solidFill>
                <a:schemeClr val="accent2">
                  <a:lumMod val="60000"/>
                  <a:lumOff val="40000"/>
                </a:schemeClr>
              </a:solidFill>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'4.7'!$F$7:$F$36</c:f>
              <c:numCache>
                <c:formatCode>0</c:formatCode>
                <c:ptCount val="30"/>
                <c:pt idx="9">
                  <c:v>27.250385470831056</c:v>
                </c:pt>
                <c:pt idx="10">
                  <c:v>24.242663079298165</c:v>
                </c:pt>
                <c:pt idx="11">
                  <c:v>30.755320462181441</c:v>
                </c:pt>
                <c:pt idx="12">
                  <c:v>27.812761707183412</c:v>
                </c:pt>
                <c:pt idx="13">
                  <c:v>21.434973321736543</c:v>
                </c:pt>
                <c:pt idx="14">
                  <c:v>30.386285915640862</c:v>
                </c:pt>
                <c:pt idx="15">
                  <c:v>36.944907665340068</c:v>
                </c:pt>
                <c:pt idx="16">
                  <c:v>32.84603186846455</c:v>
                </c:pt>
                <c:pt idx="17">
                  <c:v>31.689093532167696</c:v>
                </c:pt>
                <c:pt idx="18">
                  <c:v>33.018514975716876</c:v>
                </c:pt>
                <c:pt idx="19">
                  <c:v>37.491957308639549</c:v>
                </c:pt>
                <c:pt idx="20">
                  <c:v>51.909995143191857</c:v>
                </c:pt>
                <c:pt idx="21">
                  <c:v>46.648073393605998</c:v>
                </c:pt>
                <c:pt idx="22">
                  <c:v>62.507029138020236</c:v>
                </c:pt>
                <c:pt idx="23">
                  <c:v>46.728938258396767</c:v>
                </c:pt>
                <c:pt idx="24">
                  <c:v>55.059523288409515</c:v>
                </c:pt>
                <c:pt idx="25">
                  <c:v>63.044423995196752</c:v>
                </c:pt>
                <c:pt idx="26">
                  <c:v>74.145647556688601</c:v>
                </c:pt>
                <c:pt idx="27">
                  <c:v>70.467486448353327</c:v>
                </c:pt>
                <c:pt idx="28">
                  <c:v>69.396532696978795</c:v>
                </c:pt>
                <c:pt idx="29">
                  <c:v>65.142614236011724</c:v>
                </c:pt>
              </c:numCache>
            </c:numRef>
          </c:val>
          <c:smooth val="0"/>
          <c:extLst>
            <c:ext xmlns:c16="http://schemas.microsoft.com/office/drawing/2014/chart" uri="{C3380CC4-5D6E-409C-BE32-E72D297353CC}">
              <c16:uniqueId val="{00000004-14EF-44AF-AC19-A4223B86F09A}"/>
            </c:ext>
          </c:extLst>
        </c:ser>
        <c:ser>
          <c:idx val="2"/>
          <c:order val="5"/>
          <c:tx>
            <c:strRef>
              <c:f>'4.7'!$G$6</c:f>
              <c:strCache>
                <c:ptCount val="1"/>
                <c:pt idx="0">
                  <c:v>Heavy fuel oil</c:v>
                </c:pt>
              </c:strCache>
            </c:strRef>
          </c:tx>
          <c:spPr>
            <a:ln>
              <a:solidFill>
                <a:srgbClr val="00B050"/>
              </a:solidFill>
              <a:prstDash val="solid"/>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'4.7'!$G$7:$G$36</c:f>
              <c:numCache>
                <c:formatCode>0</c:formatCode>
                <c:ptCount val="30"/>
                <c:pt idx="9">
                  <c:v>20.488444486153721</c:v>
                </c:pt>
                <c:pt idx="10">
                  <c:v>16.098778306241282</c:v>
                </c:pt>
                <c:pt idx="11">
                  <c:v>19.731523509479199</c:v>
                </c:pt>
                <c:pt idx="12">
                  <c:v>18.773358331685486</c:v>
                </c:pt>
                <c:pt idx="13">
                  <c:v>15.455693221252361</c:v>
                </c:pt>
                <c:pt idx="14">
                  <c:v>23.81044810297794</c:v>
                </c:pt>
                <c:pt idx="15">
                  <c:v>30.514616162394553</c:v>
                </c:pt>
                <c:pt idx="16">
                  <c:v>22.843849003724493</c:v>
                </c:pt>
                <c:pt idx="17">
                  <c:v>25.692157857463485</c:v>
                </c:pt>
                <c:pt idx="18">
                  <c:v>23.500726629991693</c:v>
                </c:pt>
                <c:pt idx="19">
                  <c:v>22.163147616336566</c:v>
                </c:pt>
                <c:pt idx="20">
                  <c:v>36.899855814036862</c:v>
                </c:pt>
                <c:pt idx="21">
                  <c:v>29.872027828647255</c:v>
                </c:pt>
                <c:pt idx="22">
                  <c:v>43.863251026862208</c:v>
                </c:pt>
                <c:pt idx="23">
                  <c:v>36.625621083286255</c:v>
                </c:pt>
                <c:pt idx="24">
                  <c:v>48.587296429529204</c:v>
                </c:pt>
                <c:pt idx="25">
                  <c:v>55.030420821763293</c:v>
                </c:pt>
                <c:pt idx="26">
                  <c:v>65.068200663250153</c:v>
                </c:pt>
                <c:pt idx="27">
                  <c:v>59.795684291841212</c:v>
                </c:pt>
                <c:pt idx="28">
                  <c:v>60.526443712142239</c:v>
                </c:pt>
                <c:pt idx="29">
                  <c:v>52.83755049026572</c:v>
                </c:pt>
              </c:numCache>
            </c:numRef>
          </c:val>
          <c:smooth val="0"/>
          <c:extLst>
            <c:ext xmlns:c16="http://schemas.microsoft.com/office/drawing/2014/chart" uri="{C3380CC4-5D6E-409C-BE32-E72D297353CC}">
              <c16:uniqueId val="{00000005-14EF-44AF-AC19-A4223B86F09A}"/>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none"/>
        <c:minorTickMark val="none"/>
        <c:tickLblPos val="nextTo"/>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rgbClr val="FF660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'5.1'!$B$7:$B$52</c:f>
              <c:numCache>
                <c:formatCode>0.0</c:formatCode>
                <c:ptCount val="46"/>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46.662222222222219</c:v>
                </c:pt>
                <c:pt idx="36">
                  <c:v>45.777777777777771</c:v>
                </c:pt>
                <c:pt idx="37">
                  <c:v>45.133055555555558</c:v>
                </c:pt>
                <c:pt idx="38">
                  <c:v>41.898888888888891</c:v>
                </c:pt>
                <c:pt idx="39">
                  <c:v>41.131388888888893</c:v>
                </c:pt>
                <c:pt idx="40">
                  <c:v>38.552500000000002</c:v>
                </c:pt>
                <c:pt idx="41">
                  <c:v>35.681944444444447</c:v>
                </c:pt>
                <c:pt idx="42">
                  <c:v>32.700277777777778</c:v>
                </c:pt>
                <c:pt idx="43">
                  <c:v>30.947500000000002</c:v>
                </c:pt>
                <c:pt idx="44">
                  <c:v>29.711944444444445</c:v>
                </c:pt>
                <c:pt idx="45">
                  <c:v>28.947222222222223</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'5.1'!$C$7:$C$52</c:f>
              <c:numCache>
                <c:formatCode>0.0</c:formatCode>
                <c:ptCount val="46"/>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35.333055555555553</c:v>
                </c:pt>
                <c:pt idx="36">
                  <c:v>36.392777777777773</c:v>
                </c:pt>
                <c:pt idx="37">
                  <c:v>37.618333333333332</c:v>
                </c:pt>
                <c:pt idx="38">
                  <c:v>37.827500000000001</c:v>
                </c:pt>
                <c:pt idx="39">
                  <c:v>36.866388888888892</c:v>
                </c:pt>
                <c:pt idx="40">
                  <c:v>40.407222222222217</c:v>
                </c:pt>
                <c:pt idx="41">
                  <c:v>41.325000000000003</c:v>
                </c:pt>
                <c:pt idx="42">
                  <c:v>40.083611111111111</c:v>
                </c:pt>
                <c:pt idx="43">
                  <c:v>39.544722222222219</c:v>
                </c:pt>
                <c:pt idx="44">
                  <c:v>38.478055555555557</c:v>
                </c:pt>
                <c:pt idx="45">
                  <c:v>39.262777777777771</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rgbClr val="FFC00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'5.1'!$D$7:$D$52</c:f>
              <c:numCache>
                <c:formatCode>0.0</c:formatCode>
                <c:ptCount val="46"/>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0.6727777777777777</c:v>
                </c:pt>
                <c:pt idx="36">
                  <c:v>0.65694444444444444</c:v>
                </c:pt>
                <c:pt idx="37">
                  <c:v>0.62583333333333335</c:v>
                </c:pt>
                <c:pt idx="38">
                  <c:v>0.26138888888888884</c:v>
                </c:pt>
                <c:pt idx="39">
                  <c:v>0.1958333333333333</c:v>
                </c:pt>
                <c:pt idx="40">
                  <c:v>0.17777777777777778</c:v>
                </c:pt>
                <c:pt idx="41">
                  <c:v>0.19361111111111112</c:v>
                </c:pt>
                <c:pt idx="42">
                  <c:v>0.2311111111111111</c:v>
                </c:pt>
                <c:pt idx="43">
                  <c:v>0.2583333333333333</c:v>
                </c:pt>
                <c:pt idx="44">
                  <c:v>0.29972222222222222</c:v>
                </c:pt>
                <c:pt idx="45">
                  <c:v>0.43916666666666665</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rgbClr val="C0000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'5.1'!$E$7:$E$52</c:f>
              <c:numCache>
                <c:formatCode>0.0</c:formatCode>
                <c:ptCount val="46"/>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0.79722222222222217</c:v>
                </c:pt>
                <c:pt idx="36">
                  <c:v>0.62944444444444447</c:v>
                </c:pt>
                <c:pt idx="37">
                  <c:v>0.53083333333333338</c:v>
                </c:pt>
                <c:pt idx="38">
                  <c:v>0.44361111111111107</c:v>
                </c:pt>
                <c:pt idx="39">
                  <c:v>0.97833333333333328</c:v>
                </c:pt>
                <c:pt idx="40">
                  <c:v>1.7261111111111112</c:v>
                </c:pt>
                <c:pt idx="41">
                  <c:v>0.86305555555555558</c:v>
                </c:pt>
                <c:pt idx="42">
                  <c:v>0.53</c:v>
                </c:pt>
                <c:pt idx="43">
                  <c:v>0.52083333333333337</c:v>
                </c:pt>
                <c:pt idx="44">
                  <c:v>0.54249999999999998</c:v>
                </c:pt>
                <c:pt idx="45">
                  <c:v>0.24805555555555553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'5.1'!$F$7:$F$52</c:f>
              <c:numCache>
                <c:formatCode>0.0</c:formatCode>
                <c:ptCount val="46"/>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2">
                <a:lumMod val="60000"/>
                <a:lumOff val="40000"/>
                <a:alpha val="80000"/>
              </a:scheme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'5.1'!$G$7:$G$52</c:f>
              <c:numCache>
                <c:formatCode>0.0</c:formatCode>
                <c:ptCount val="46"/>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rgbClr val="00B05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'5.1'!$H$7:$H$52</c:f>
              <c:numCache>
                <c:formatCode>0.0</c:formatCode>
                <c:ptCount val="46"/>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1.9268155111111112</c:v>
                </c:pt>
                <c:pt idx="36">
                  <c:v>2.7347674222222222</c:v>
                </c:pt>
                <c:pt idx="37">
                  <c:v>3.6776475444444445</c:v>
                </c:pt>
                <c:pt idx="38">
                  <c:v>4.2920002222222218</c:v>
                </c:pt>
                <c:pt idx="39">
                  <c:v>4.559166666666667</c:v>
                </c:pt>
                <c:pt idx="40">
                  <c:v>4.9680555555555559</c:v>
                </c:pt>
                <c:pt idx="41">
                  <c:v>5.8905555555555544</c:v>
                </c:pt>
                <c:pt idx="42">
                  <c:v>6.9183333333333339</c:v>
                </c:pt>
                <c:pt idx="43">
                  <c:v>8.3650000000000002</c:v>
                </c:pt>
                <c:pt idx="44">
                  <c:v>10.993611111111111</c:v>
                </c:pt>
                <c:pt idx="45">
                  <c:v>13.186388888888889</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rgbClr val="7030A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'5.1'!$I$7:$I$52</c:f>
              <c:numCache>
                <c:formatCode>0.0</c:formatCode>
                <c:ptCount val="46"/>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2.8177777777777777</c:v>
                </c:pt>
                <c:pt idx="36">
                  <c:v>2.8849999999999998</c:v>
                </c:pt>
                <c:pt idx="37">
                  <c:v>2.4211111111111108</c:v>
                </c:pt>
                <c:pt idx="38">
                  <c:v>2.3608333333333333</c:v>
                </c:pt>
                <c:pt idx="39">
                  <c:v>2.4422222222222221</c:v>
                </c:pt>
                <c:pt idx="40">
                  <c:v>2.4052777777777776</c:v>
                </c:pt>
                <c:pt idx="41">
                  <c:v>2.6397222222222223</c:v>
                </c:pt>
                <c:pt idx="42">
                  <c:v>2.6844444444444444</c:v>
                </c:pt>
                <c:pt idx="43">
                  <c:v>2.7502777777777778</c:v>
                </c:pt>
                <c:pt idx="44">
                  <c:v>2.6155555555555559</c:v>
                </c:pt>
                <c:pt idx="45">
                  <c:v>2.5950000000000002</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a:pPr>
          <a:endParaRPr lang="sv-SE"/>
        </a:p>
      </c:txPr>
    </c:title>
    <c:autoTitleDeleted val="0"/>
    <c:plotArea>
      <c:layout/>
      <c:areaChart>
        <c:grouping val="stacked"/>
        <c:varyColors val="0"/>
        <c:ser>
          <c:idx val="0"/>
          <c:order val="0"/>
          <c:tx>
            <c:strRef>
              <c:f>'5.2'!$B$6</c:f>
              <c:strCache>
                <c:ptCount val="1"/>
                <c:pt idx="0">
                  <c:v>Bioethanol</c:v>
                </c:pt>
              </c:strCache>
            </c:strRef>
          </c:tx>
          <c:spPr>
            <a:solidFill>
              <a:srgbClr val="00B050">
                <a:alpha val="80000"/>
              </a:srgbClr>
            </a:solidFill>
          </c:spPr>
          <c:cat>
            <c:numRef>
              <c:f>'5.2'!$A$7:$A$27</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'5.2'!$B$7:$B$27</c:f>
              <c:numCache>
                <c:formatCode>0.0</c:formatCode>
                <c:ptCount val="21"/>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1.6736111111111112</c:v>
                </c:pt>
                <c:pt idx="11">
                  <c:v>1.9155555555555555</c:v>
                </c:pt>
                <c:pt idx="12">
                  <c:v>2.2027777777777779</c:v>
                </c:pt>
                <c:pt idx="13">
                  <c:v>2.4563888888888887</c:v>
                </c:pt>
                <c:pt idx="14">
                  <c:v>2.2711111111111109</c:v>
                </c:pt>
                <c:pt idx="15">
                  <c:v>2.3325</c:v>
                </c:pt>
                <c:pt idx="16">
                  <c:v>2.4186111111111108</c:v>
                </c:pt>
                <c:pt idx="17">
                  <c:v>2.345277777777778</c:v>
                </c:pt>
                <c:pt idx="18">
                  <c:v>2.0658333333333334</c:v>
                </c:pt>
                <c:pt idx="19">
                  <c:v>1.9027777777777779</c:v>
                </c:pt>
                <c:pt idx="20">
                  <c:v>1.5322222222222222</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'5.2'!$A$7:$A$27</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'5.2'!$C$7:$C$27</c:f>
              <c:numCache>
                <c:formatCode>0.0</c:formatCode>
                <c:ptCount val="21"/>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9.7500000000000003E-2</c:v>
                </c:pt>
                <c:pt idx="11">
                  <c:v>0.58916666666666662</c:v>
                </c:pt>
                <c:pt idx="12">
                  <c:v>1.1991666666666667</c:v>
                </c:pt>
                <c:pt idx="13">
                  <c:v>1.5083333333333333</c:v>
                </c:pt>
                <c:pt idx="14">
                  <c:v>1.8783333333333332</c:v>
                </c:pt>
                <c:pt idx="15">
                  <c:v>2.0619444444444444</c:v>
                </c:pt>
                <c:pt idx="16">
                  <c:v>2.7197222222222224</c:v>
                </c:pt>
                <c:pt idx="17">
                  <c:v>3.7352777777777777</c:v>
                </c:pt>
                <c:pt idx="18">
                  <c:v>5.4175000000000004</c:v>
                </c:pt>
                <c:pt idx="19">
                  <c:v>8.1111111111111107</c:v>
                </c:pt>
                <c:pt idx="20">
                  <c:v>10.522500000000001</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'5.2'!$A$7:$A$27</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'5.2'!$D$7:$D$27</c:f>
              <c:numCache>
                <c:formatCode>0.0</c:formatCode>
                <c:ptCount val="21"/>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a:pPr>
            <a:endParaRPr lang="sv-SE"/>
          </a:p>
        </c:txPr>
        <c:crossAx val="29422336"/>
        <c:crosses val="autoZero"/>
        <c:auto val="1"/>
        <c:lblAlgn val="ctr"/>
        <c:lblOffset val="100"/>
        <c:noMultiLvlLbl val="0"/>
      </c:catAx>
      <c:valAx>
        <c:axId val="2942233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legend>
    <c:plotVisOnly val="1"/>
    <c:dispBlanksAs val="zero"/>
    <c:showDLblsOverMax val="0"/>
  </c:chart>
  <c:spPr>
    <a:ln>
      <a:noFill/>
    </a:ln>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'1.3'!$A$3:$G$3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'1.3'!$B$6</c:f>
              <c:strCache>
                <c:ptCount val="1"/>
                <c:pt idx="0">
                  <c:v>Final energy use</c:v>
                </c:pt>
              </c:strCache>
            </c:strRef>
          </c:tx>
          <c:spPr>
            <a:solidFill>
              <a:srgbClr val="002060">
                <a:alpha val="81000"/>
              </a:srgb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'1.3'!$B$7:$B$52</c:f>
              <c:numCache>
                <c:formatCode>#,##0</c:formatCode>
                <c:ptCount val="46"/>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361.86867920309771</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381.01160882501489</c:v>
                </c:pt>
                <c:pt idx="31">
                  <c:v>388.15939452234517</c:v>
                </c:pt>
                <c:pt idx="32">
                  <c:v>393.04715759022474</c:v>
                </c:pt>
                <c:pt idx="33">
                  <c:v>398.0384733516525</c:v>
                </c:pt>
                <c:pt idx="34">
                  <c:v>397.97040898297462</c:v>
                </c:pt>
                <c:pt idx="35">
                  <c:v>394.51125995555554</c:v>
                </c:pt>
                <c:pt idx="36">
                  <c:v>392.93893408888886</c:v>
                </c:pt>
                <c:pt idx="37">
                  <c:v>396.13931421111113</c:v>
                </c:pt>
                <c:pt idx="38">
                  <c:v>385.54672244444453</c:v>
                </c:pt>
                <c:pt idx="39">
                  <c:v>370.79305555555561</c:v>
                </c:pt>
                <c:pt idx="40">
                  <c:v>395.33666666666664</c:v>
                </c:pt>
                <c:pt idx="41" formatCode="0">
                  <c:v>379.88055555555559</c:v>
                </c:pt>
                <c:pt idx="42" formatCode="0">
                  <c:v>377.6919444444444</c:v>
                </c:pt>
                <c:pt idx="43" formatCode="0">
                  <c:v>375.31777777777774</c:v>
                </c:pt>
                <c:pt idx="44" formatCode="0">
                  <c:v>368.12555555555548</c:v>
                </c:pt>
                <c:pt idx="45" formatCode="0">
                  <c:v>370.27361111111111</c:v>
                </c:pt>
              </c:numCache>
            </c:numRef>
          </c:val>
          <c:extLst>
            <c:ext xmlns:c16="http://schemas.microsoft.com/office/drawing/2014/chart" uri="{C3380CC4-5D6E-409C-BE32-E72D297353CC}">
              <c16:uniqueId val="{00000000-ECFD-4237-8954-FFD6E16A8C55}"/>
            </c:ext>
          </c:extLst>
        </c:ser>
        <c:ser>
          <c:idx val="1"/>
          <c:order val="1"/>
          <c:tx>
            <c:strRef>
              <c:f>'1.3'!$C$6</c:f>
              <c:strCache>
                <c:ptCount val="1"/>
                <c:pt idx="0">
                  <c:v>Energy sector own use</c:v>
                </c:pt>
              </c:strCache>
            </c:strRef>
          </c:tx>
          <c:spPr>
            <a:solidFill>
              <a:schemeClr val="accent5">
                <a:alpha val="79000"/>
              </a:scheme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'1.3'!$C$7:$C$52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11.107222222222223</c:v>
                </c:pt>
                <c:pt idx="36">
                  <c:v>10.219444444444445</c:v>
                </c:pt>
                <c:pt idx="37">
                  <c:v>10.708611111111111</c:v>
                </c:pt>
                <c:pt idx="38">
                  <c:v>10.410277777777777</c:v>
                </c:pt>
                <c:pt idx="39">
                  <c:v>9.7766666666666673</c:v>
                </c:pt>
                <c:pt idx="40">
                  <c:v>10.350555555555555</c:v>
                </c:pt>
                <c:pt idx="41" formatCode="0">
                  <c:v>10.476944444444445</c:v>
                </c:pt>
                <c:pt idx="42" formatCode="0">
                  <c:v>10.941944444444443</c:v>
                </c:pt>
                <c:pt idx="43" formatCode="0">
                  <c:v>10.524722222222223</c:v>
                </c:pt>
                <c:pt idx="44" formatCode="0">
                  <c:v>10.33</c:v>
                </c:pt>
                <c:pt idx="45" formatCode="0">
                  <c:v>9.1069444444444461</c:v>
                </c:pt>
              </c:numCache>
            </c:numRef>
          </c:val>
          <c:extLst>
            <c:ext xmlns:c16="http://schemas.microsoft.com/office/drawing/2014/chart" uri="{C3380CC4-5D6E-409C-BE32-E72D297353CC}">
              <c16:uniqueId val="{00000001-ECFD-4237-8954-FFD6E16A8C55}"/>
            </c:ext>
          </c:extLst>
        </c:ser>
        <c:ser>
          <c:idx val="2"/>
          <c:order val="2"/>
          <c:tx>
            <c:strRef>
              <c:f>'1.3'!$D$6</c:f>
              <c:strCache>
                <c:ptCount val="1"/>
                <c:pt idx="0">
                  <c:v>Non-energy use</c:v>
                </c:pt>
              </c:strCache>
            </c:strRef>
          </c:tx>
          <c:spPr>
            <a:solidFill>
              <a:srgbClr val="92D050">
                <a:alpha val="80000"/>
              </a:srgb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'1.3'!$D$7:$D$52</c:f>
              <c:numCache>
                <c:formatCode>#,##0</c:formatCode>
                <c:ptCount val="46"/>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37.145277777777778</c:v>
                </c:pt>
                <c:pt idx="36">
                  <c:v>38.146944444444443</c:v>
                </c:pt>
                <c:pt idx="37">
                  <c:v>38.763333333333335</c:v>
                </c:pt>
                <c:pt idx="38">
                  <c:v>38.475000000000001</c:v>
                </c:pt>
                <c:pt idx="39">
                  <c:v>31.386944444444445</c:v>
                </c:pt>
                <c:pt idx="40">
                  <c:v>33.31722222222222</c:v>
                </c:pt>
                <c:pt idx="41" formatCode="0">
                  <c:v>30.911388888888887</c:v>
                </c:pt>
                <c:pt idx="42" formatCode="0">
                  <c:v>30.851111111111109</c:v>
                </c:pt>
                <c:pt idx="43" formatCode="0">
                  <c:v>31.651388888888889</c:v>
                </c:pt>
                <c:pt idx="44" formatCode="0">
                  <c:v>36.096388888888882</c:v>
                </c:pt>
                <c:pt idx="45" formatCode="0">
                  <c:v>35.078055555555558</c:v>
                </c:pt>
              </c:numCache>
            </c:numRef>
          </c:val>
          <c:extLst>
            <c:ext xmlns:c16="http://schemas.microsoft.com/office/drawing/2014/chart" uri="{C3380CC4-5D6E-409C-BE32-E72D297353CC}">
              <c16:uniqueId val="{00000002-ECFD-4237-8954-FFD6E16A8C55}"/>
            </c:ext>
          </c:extLst>
        </c:ser>
        <c:ser>
          <c:idx val="3"/>
          <c:order val="3"/>
          <c:tx>
            <c:strRef>
              <c:f>'1.3'!$E$6</c:f>
              <c:strCache>
                <c:ptCount val="1"/>
                <c:pt idx="0">
                  <c:v>Transformation and distribution losses, excl. nuclear power</c:v>
                </c:pt>
              </c:strCache>
            </c:strRef>
          </c:tx>
          <c:spPr>
            <a:solidFill>
              <a:srgbClr val="7030A0">
                <a:alpha val="80000"/>
              </a:srgb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'1.3'!$E$7:$E$52</c:f>
              <c:numCache>
                <c:formatCode>#,##0</c:formatCode>
                <c:ptCount val="46"/>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23.870166666666627</c:v>
                </c:pt>
                <c:pt idx="20">
                  <c:v>22.707777777777753</c:v>
                </c:pt>
                <c:pt idx="21">
                  <c:v>23.527833333333344</c:v>
                </c:pt>
                <c:pt idx="22">
                  <c:v>21.254000000000001</c:v>
                </c:pt>
                <c:pt idx="23">
                  <c:v>20.1035</c:v>
                </c:pt>
                <c:pt idx="24">
                  <c:v>27.852444444444465</c:v>
                </c:pt>
                <c:pt idx="25">
                  <c:v>26.228222222222218</c:v>
                </c:pt>
                <c:pt idx="26">
                  <c:v>34.4315</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32.735833333333346</c:v>
                </c:pt>
                <c:pt idx="36">
                  <c:v>33.028055555555532</c:v>
                </c:pt>
                <c:pt idx="37">
                  <c:v>31.635555555555548</c:v>
                </c:pt>
                <c:pt idx="38">
                  <c:v>26.786666666666701</c:v>
                </c:pt>
                <c:pt idx="39">
                  <c:v>20.574999999999999</c:v>
                </c:pt>
                <c:pt idx="40">
                  <c:v>35.208055555555532</c:v>
                </c:pt>
                <c:pt idx="41" formatCode="0">
                  <c:v>21.387222222222221</c:v>
                </c:pt>
                <c:pt idx="42" formatCode="0">
                  <c:v>24.177222222222277</c:v>
                </c:pt>
                <c:pt idx="43" formatCode="0">
                  <c:v>18.703055555555519</c:v>
                </c:pt>
                <c:pt idx="44" formatCode="0">
                  <c:v>22.995833333333344</c:v>
                </c:pt>
                <c:pt idx="45" formatCode="0">
                  <c:v>26.616944444444453</c:v>
                </c:pt>
              </c:numCache>
            </c:numRef>
          </c:val>
          <c:extLst>
            <c:ext xmlns:c16="http://schemas.microsoft.com/office/drawing/2014/chart" uri="{C3380CC4-5D6E-409C-BE32-E72D297353CC}">
              <c16:uniqueId val="{00000003-ECFD-4237-8954-FFD6E16A8C55}"/>
            </c:ext>
          </c:extLst>
        </c:ser>
        <c:ser>
          <c:idx val="4"/>
          <c:order val="4"/>
          <c:tx>
            <c:strRef>
              <c:f>'1.3'!$F$6</c:f>
              <c:strCache>
                <c:ptCount val="1"/>
                <c:pt idx="0">
                  <c:v>Nuclear power losses</c:v>
                </c:pt>
              </c:strCache>
            </c:strRef>
          </c:tx>
          <c:spPr>
            <a:pattFill prst="dkUpDiag">
              <a:fgClr>
                <a:schemeClr val="tx1">
                  <a:lumMod val="75000"/>
                  <a:lumOff val="25000"/>
                </a:schemeClr>
              </a:fgClr>
              <a:bgClr>
                <a:schemeClr val="bg1"/>
              </a:bgClr>
            </a:patt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'1.3'!$F$7:$F$52</c:f>
              <c:numCache>
                <c:formatCode>#,##0</c:formatCode>
                <c:ptCount val="46"/>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'5.3'!$B$7:$B$52</c:f>
              <c:numCache>
                <c:formatCode>0.0</c:formatCode>
                <c:ptCount val="46"/>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84.141259955555569</c:v>
                </c:pt>
                <c:pt idx="36">
                  <c:v>85.177545200000012</c:v>
                </c:pt>
                <c:pt idx="37">
                  <c:v>86.720425322222226</c:v>
                </c:pt>
                <c:pt idx="38">
                  <c:v>84.304222444444449</c:v>
                </c:pt>
                <c:pt idx="39">
                  <c:v>82.818333333333328</c:v>
                </c:pt>
                <c:pt idx="40">
                  <c:v>84.266666666666666</c:v>
                </c:pt>
                <c:pt idx="41">
                  <c:v>83.351388888888891</c:v>
                </c:pt>
                <c:pt idx="42">
                  <c:v>80.257777777777775</c:v>
                </c:pt>
                <c:pt idx="43">
                  <c:v>79.412777777777762</c:v>
                </c:pt>
                <c:pt idx="44">
                  <c:v>79.763611111111103</c:v>
                </c:pt>
                <c:pt idx="45">
                  <c:v>81.865833333333342</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'5.3'!$C$7:$C$52</c:f>
              <c:numCache>
                <c:formatCode>0.0</c:formatCode>
                <c:ptCount val="46"/>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1.47</c:v>
                </c:pt>
                <c:pt idx="36">
                  <c:v>1.2863888888888888</c:v>
                </c:pt>
                <c:pt idx="37">
                  <c:v>1.1566666666666667</c:v>
                </c:pt>
                <c:pt idx="38">
                  <c:v>0.70499999999999996</c:v>
                </c:pt>
                <c:pt idx="39">
                  <c:v>1.1741666666666668</c:v>
                </c:pt>
                <c:pt idx="40">
                  <c:v>1.903888888888889</c:v>
                </c:pt>
                <c:pt idx="41">
                  <c:v>1.0566666666666666</c:v>
                </c:pt>
                <c:pt idx="42">
                  <c:v>0.76111111111111107</c:v>
                </c:pt>
                <c:pt idx="43">
                  <c:v>0.77916666666666667</c:v>
                </c:pt>
                <c:pt idx="44">
                  <c:v>0.84222222222222221</c:v>
                </c:pt>
                <c:pt idx="45">
                  <c:v>0.68722222222222218</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'5.3'!$D$7:$D$52</c:f>
              <c:numCache>
                <c:formatCode>0.0</c:formatCode>
                <c:ptCount val="46"/>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'5.3'!$E$7:$E$52</c:f>
              <c:numCache>
                <c:formatCode>0.0</c:formatCode>
                <c:ptCount val="46"/>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2.8177777777777777</c:v>
                </c:pt>
                <c:pt idx="36">
                  <c:v>2.8849999999999998</c:v>
                </c:pt>
                <c:pt idx="37">
                  <c:v>2.4211111111111108</c:v>
                </c:pt>
                <c:pt idx="38">
                  <c:v>2.3608333333333333</c:v>
                </c:pt>
                <c:pt idx="39">
                  <c:v>2.4422222222222221</c:v>
                </c:pt>
                <c:pt idx="40">
                  <c:v>2.4052777777777776</c:v>
                </c:pt>
                <c:pt idx="41">
                  <c:v>2.6397222222222223</c:v>
                </c:pt>
                <c:pt idx="42">
                  <c:v>2.6844444444444444</c:v>
                </c:pt>
                <c:pt idx="43">
                  <c:v>2.7502777777777778</c:v>
                </c:pt>
                <c:pt idx="44">
                  <c:v>2.6155555555555559</c:v>
                </c:pt>
                <c:pt idx="45">
                  <c:v>2.5950000000000002</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17828910638506634"/>
          <c:w val="0.14668562263050453"/>
          <c:h val="0.6450415286874187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'5.4'!$B$7:$B$52</c:f>
              <c:numCache>
                <c:formatCode>0.0</c:formatCode>
                <c:ptCount val="46"/>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23.126666666666669</c:v>
                </c:pt>
                <c:pt idx="36">
                  <c:v>24.855277777777779</c:v>
                </c:pt>
                <c:pt idx="37">
                  <c:v>24.722777777777779</c:v>
                </c:pt>
                <c:pt idx="38">
                  <c:v>24.313611111111108</c:v>
                </c:pt>
                <c:pt idx="39">
                  <c:v>25.317222222222224</c:v>
                </c:pt>
                <c:pt idx="40">
                  <c:v>23.385555555555555</c:v>
                </c:pt>
                <c:pt idx="41">
                  <c:v>20.514722222222222</c:v>
                </c:pt>
                <c:pt idx="42">
                  <c:v>20.153333333333332</c:v>
                </c:pt>
                <c:pt idx="43">
                  <c:v>19.056944444444444</c:v>
                </c:pt>
                <c:pt idx="44">
                  <c:v>20.479166666666668</c:v>
                </c:pt>
                <c:pt idx="45">
                  <c:v>21.548611111111111</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'5.4'!$C$7:$C$52</c:f>
              <c:numCache>
                <c:formatCode>0.0</c:formatCode>
                <c:ptCount val="46"/>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17828910638506634"/>
          <c:w val="0.14668562263050453"/>
          <c:h val="0.6450415286874187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real (2016) prices, SEK/litre</c:v>
            </c:pt>
          </c:strCache>
        </c:strRef>
      </c:tx>
      <c:overlay val="0"/>
      <c:txPr>
        <a:bodyPr/>
        <a:lstStyle/>
        <a:p>
          <a:pPr>
            <a:defRPr b="0"/>
          </a:pPr>
          <a:endParaRPr lang="sv-SE"/>
        </a:p>
      </c:txPr>
    </c:title>
    <c:autoTitleDeleted val="0"/>
    <c:plotArea>
      <c:layout/>
      <c:lineChart>
        <c:grouping val="standard"/>
        <c:varyColors val="0"/>
        <c:ser>
          <c:idx val="0"/>
          <c:order val="0"/>
          <c:tx>
            <c:strRef>
              <c:f>'5.5'!$B$6</c:f>
              <c:strCache>
                <c:ptCount val="1"/>
                <c:pt idx="0">
                  <c:v>Petrol (95 octane)</c:v>
                </c:pt>
              </c:strCache>
            </c:strRef>
          </c:tx>
          <c:spPr>
            <a:ln>
              <a:solidFill>
                <a:srgbClr val="FF6600">
                  <a:alpha val="78824"/>
                </a:srgbClr>
              </a:solidFill>
            </a:ln>
          </c:spPr>
          <c:marker>
            <c:symbol val="none"/>
          </c:marker>
          <c:cat>
            <c:numRef>
              <c:f>'5.5'!$A$7:$A$43</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'5.5'!$B$7:$B$43</c:f>
              <c:numCache>
                <c:formatCode>0.00</c:formatCode>
                <c:ptCount val="37"/>
                <c:pt idx="1">
                  <c:v>9.823161462979483</c:v>
                </c:pt>
                <c:pt idx="2">
                  <c:v>10.036317173377157</c:v>
                </c:pt>
                <c:pt idx="3">
                  <c:v>9.7124441930618399</c:v>
                </c:pt>
                <c:pt idx="4">
                  <c:v>9.1481857541899441</c:v>
                </c:pt>
                <c:pt idx="5">
                  <c:v>9.4023738621586475</c:v>
                </c:pt>
                <c:pt idx="6">
                  <c:v>7.9156849656893336</c:v>
                </c:pt>
                <c:pt idx="7">
                  <c:v>7.6170574850299388</c:v>
                </c:pt>
                <c:pt idx="8">
                  <c:v>7.6645183927560856</c:v>
                </c:pt>
                <c:pt idx="9">
                  <c:v>7.7214976076555013</c:v>
                </c:pt>
                <c:pt idx="10">
                  <c:v>9.5781746871992297</c:v>
                </c:pt>
                <c:pt idx="11">
                  <c:v>8.9831580105633808</c:v>
                </c:pt>
                <c:pt idx="12">
                  <c:v>8.5234586919104984</c:v>
                </c:pt>
                <c:pt idx="13">
                  <c:v>9.9795152138157892</c:v>
                </c:pt>
                <c:pt idx="14">
                  <c:v>9.5756684104627752</c:v>
                </c:pt>
                <c:pt idx="15">
                  <c:v>9.4010011773940327</c:v>
                </c:pt>
                <c:pt idx="16">
                  <c:v>9.7277503906249994</c:v>
                </c:pt>
                <c:pt idx="17">
                  <c:v>10.17052506801399</c:v>
                </c:pt>
                <c:pt idx="18">
                  <c:v>9.9730856031128408</c:v>
                </c:pt>
                <c:pt idx="19">
                  <c:v>10.298380472685006</c:v>
                </c:pt>
                <c:pt idx="20">
                  <c:v>11.603647103950903</c:v>
                </c:pt>
                <c:pt idx="21">
                  <c:v>11.278223886184948</c:v>
                </c:pt>
                <c:pt idx="22">
                  <c:v>10.868581744868033</c:v>
                </c:pt>
                <c:pt idx="23">
                  <c:v>10.763854009349156</c:v>
                </c:pt>
                <c:pt idx="24">
                  <c:v>11.390119985673355</c:v>
                </c:pt>
                <c:pt idx="25">
                  <c:v>12.560149429386595</c:v>
                </c:pt>
                <c:pt idx="26">
                  <c:v>12.858934979945111</c:v>
                </c:pt>
                <c:pt idx="27">
                  <c:v>12.689440983098688</c:v>
                </c:pt>
                <c:pt idx="28">
                  <c:v>13.199934133927679</c:v>
                </c:pt>
                <c:pt idx="29">
                  <c:v>12.734918908095841</c:v>
                </c:pt>
                <c:pt idx="30">
                  <c:v>13.524342911751139</c:v>
                </c:pt>
                <c:pt idx="31">
                  <c:v>14.316214558648815</c:v>
                </c:pt>
                <c:pt idx="32">
                  <c:v>15.086318905155952</c:v>
                </c:pt>
                <c:pt idx="33">
                  <c:v>14.639648156403235</c:v>
                </c:pt>
                <c:pt idx="34">
                  <c:v>14.464390889661551</c:v>
                </c:pt>
                <c:pt idx="35">
                  <c:v>13.491318972395087</c:v>
                </c:pt>
                <c:pt idx="36">
                  <c:v>13.200000000000001</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2">
                  <a:lumMod val="75000"/>
                  <a:alpha val="80000"/>
                </a:schemeClr>
              </a:solidFill>
              <a:prstDash val="sysDash"/>
            </a:ln>
          </c:spPr>
          <c:marker>
            <c:symbol val="none"/>
          </c:marker>
          <c:cat>
            <c:numRef>
              <c:f>'5.5'!$A$7:$A$43</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'5.5'!$C$7:$C$43</c:f>
              <c:numCache>
                <c:formatCode>0.00</c:formatCode>
                <c:ptCount val="37"/>
                <c:pt idx="0">
                  <c:v>4.6831639999999997</c:v>
                </c:pt>
                <c:pt idx="1">
                  <c:v>5.1938554861730601</c:v>
                </c:pt>
                <c:pt idx="2">
                  <c:v>6.0581914543960558</c:v>
                </c:pt>
                <c:pt idx="3">
                  <c:v>6.0136018099547517</c:v>
                </c:pt>
                <c:pt idx="4">
                  <c:v>6.2976641061452527</c:v>
                </c:pt>
                <c:pt idx="5">
                  <c:v>6.2751072821846554</c:v>
                </c:pt>
                <c:pt idx="6">
                  <c:v>4.540168434185901</c:v>
                </c:pt>
                <c:pt idx="7">
                  <c:v>4.8696113772455085</c:v>
                </c:pt>
                <c:pt idx="8">
                  <c:v>4.7813701188455004</c:v>
                </c:pt>
                <c:pt idx="9">
                  <c:v>5.4168240297713988</c:v>
                </c:pt>
                <c:pt idx="10">
                  <c:v>7.2788036573628494</c:v>
                </c:pt>
                <c:pt idx="11">
                  <c:v>7.1865264084507041</c:v>
                </c:pt>
                <c:pt idx="12">
                  <c:v>6.6989483648881247</c:v>
                </c:pt>
                <c:pt idx="13">
                  <c:v>7.8326833881578946</c:v>
                </c:pt>
                <c:pt idx="14">
                  <c:v>8.9899227364185101</c:v>
                </c:pt>
                <c:pt idx="15">
                  <c:v>8.4447566718995279</c:v>
                </c:pt>
                <c:pt idx="16">
                  <c:v>8.0961582031249986</c:v>
                </c:pt>
                <c:pt idx="17">
                  <c:v>8.1782335794792083</c:v>
                </c:pt>
                <c:pt idx="18">
                  <c:v>7.7568443579766537</c:v>
                </c:pt>
                <c:pt idx="19">
                  <c:v>8.1651445176288266</c:v>
                </c:pt>
                <c:pt idx="20">
                  <c:v>10.244224012274646</c:v>
                </c:pt>
                <c:pt idx="21">
                  <c:v>10.294933358292772</c:v>
                </c:pt>
                <c:pt idx="22">
                  <c:v>9.697048387096773</c:v>
                </c:pt>
                <c:pt idx="23">
                  <c:v>9.0115987055016173</c:v>
                </c:pt>
                <c:pt idx="24">
                  <c:v>9.7581027936962759</c:v>
                </c:pt>
                <c:pt idx="25">
                  <c:v>11.826627674750359</c:v>
                </c:pt>
                <c:pt idx="26">
                  <c:v>12.547203222855533</c:v>
                </c:pt>
                <c:pt idx="27">
                  <c:v>11.850739733571993</c:v>
                </c:pt>
                <c:pt idx="28">
                  <c:v>13.810457403279997</c:v>
                </c:pt>
                <c:pt idx="29">
                  <c:v>12.122460121471001</c:v>
                </c:pt>
                <c:pt idx="30">
                  <c:v>12.950835694984514</c:v>
                </c:pt>
                <c:pt idx="31">
                  <c:v>14.316214558648815</c:v>
                </c:pt>
                <c:pt idx="32">
                  <c:v>14.915112348822406</c:v>
                </c:pt>
                <c:pt idx="33">
                  <c:v>14.589270839966886</c:v>
                </c:pt>
                <c:pt idx="34">
                  <c:v>14.333171712016332</c:v>
                </c:pt>
                <c:pt idx="35">
                  <c:v>13.077288973990745</c:v>
                </c:pt>
                <c:pt idx="36">
                  <c:v>12.770000000000001</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'5.5'!$A$7:$A$43</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'5.5'!$D$7:$D$43</c:f>
              <c:numCache>
                <c:formatCode>0.00</c:formatCode>
                <c:ptCount val="37"/>
                <c:pt idx="25">
                  <c:v>8.8361159058487893</c:v>
                </c:pt>
                <c:pt idx="26">
                  <c:v>9.1626870030258232</c:v>
                </c:pt>
                <c:pt idx="27">
                  <c:v>8.9751925923376117</c:v>
                </c:pt>
                <c:pt idx="28">
                  <c:v>9.2210066198729255</c:v>
                </c:pt>
                <c:pt idx="29">
                  <c:v>10.147808516318493</c:v>
                </c:pt>
                <c:pt idx="30">
                  <c:v>9.8851789362683729</c:v>
                </c:pt>
                <c:pt idx="31">
                  <c:v>10.099586423915486</c:v>
                </c:pt>
                <c:pt idx="32">
                  <c:v>10.413387014640357</c:v>
                </c:pt>
                <c:pt idx="33">
                  <c:v>10.166142456855377</c:v>
                </c:pt>
                <c:pt idx="34">
                  <c:v>9.629468882579987</c:v>
                </c:pt>
                <c:pt idx="35">
                  <c:v>10.522420935056646</c:v>
                </c:pt>
                <c:pt idx="36">
                  <c:v>10.86</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84038680350141415"/>
          <c:y val="0.1264456153982097"/>
          <c:w val="0.14600767496655512"/>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71380807115826073"/>
          <c:h val="0.76795909680746732"/>
        </c:manualLayout>
      </c:layout>
      <c:areaChart>
        <c:grouping val="stacked"/>
        <c:varyColors val="0"/>
        <c:ser>
          <c:idx val="0"/>
          <c:order val="0"/>
          <c:tx>
            <c:strRef>
              <c:f>'6.1'!$B$6</c:f>
              <c:strCache>
                <c:ptCount val="1"/>
                <c:pt idx="0">
                  <c:v>Industry</c:v>
                </c:pt>
              </c:strCache>
            </c:strRef>
          </c:tx>
          <c:spPr>
            <a:solidFill>
              <a:srgbClr val="002060">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'6.1'!$B$7:$B$52</c:f>
              <c:numCache>
                <c:formatCode>0.0</c:formatCode>
                <c:ptCount val="46"/>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52.600833333333327</c:v>
                </c:pt>
                <c:pt idx="41">
                  <c:v>53.052500000000002</c:v>
                </c:pt>
                <c:pt idx="42">
                  <c:v>52.494999999999997</c:v>
                </c:pt>
                <c:pt idx="43">
                  <c:v>50.951388888888893</c:v>
                </c:pt>
                <c:pt idx="44">
                  <c:v>49.651666666666664</c:v>
                </c:pt>
                <c:pt idx="45">
                  <c:v>49.081666666666663</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92D050">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'6.1'!$C$7:$C$52</c:f>
              <c:numCache>
                <c:formatCode>0.0</c:formatCode>
                <c:ptCount val="46"/>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2.8177777777777777</c:v>
                </c:pt>
                <c:pt idx="36">
                  <c:v>2.8849999999999998</c:v>
                </c:pt>
                <c:pt idx="37">
                  <c:v>2.4211111111111108</c:v>
                </c:pt>
                <c:pt idx="38">
                  <c:v>2.3608333333333333</c:v>
                </c:pt>
                <c:pt idx="39">
                  <c:v>2.4422222222222221</c:v>
                </c:pt>
                <c:pt idx="40">
                  <c:v>2.4052777777777776</c:v>
                </c:pt>
                <c:pt idx="41">
                  <c:v>2.6397222222222223</c:v>
                </c:pt>
                <c:pt idx="42">
                  <c:v>2.6844444444444444</c:v>
                </c:pt>
                <c:pt idx="43">
                  <c:v>2.7502777777777778</c:v>
                </c:pt>
                <c:pt idx="44">
                  <c:v>2.6155555555555559</c:v>
                </c:pt>
                <c:pt idx="45">
                  <c:v>2.5950000000000002</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5">
                <a:alpha val="80000"/>
              </a:scheme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'6.1'!$D$7:$D$52</c:f>
              <c:numCache>
                <c:formatCode>0.0</c:formatCode>
                <c:ptCount val="46"/>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71.656111111111116</c:v>
                </c:pt>
                <c:pt idx="36">
                  <c:v>71.394722222222214</c:v>
                </c:pt>
                <c:pt idx="37">
                  <c:v>69.192499999999995</c:v>
                </c:pt>
                <c:pt idx="38">
                  <c:v>68.196666666666658</c:v>
                </c:pt>
                <c:pt idx="39">
                  <c:v>71.416388888888875</c:v>
                </c:pt>
                <c:pt idx="40">
                  <c:v>74.656388888888884</c:v>
                </c:pt>
                <c:pt idx="41">
                  <c:v>69.628611111111113</c:v>
                </c:pt>
                <c:pt idx="42">
                  <c:v>71.245555555555569</c:v>
                </c:pt>
                <c:pt idx="43">
                  <c:v>70.90638888888887</c:v>
                </c:pt>
                <c:pt idx="44">
                  <c:v>68.043333333333322</c:v>
                </c:pt>
                <c:pt idx="45">
                  <c:v>70.688611111111115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FFC000">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'6.1'!$E$7:$E$52</c:f>
              <c:numCache>
                <c:formatCode>0.0</c:formatCode>
                <c:ptCount val="46"/>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c:v>4.5407944444444448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rgbClr val="FF66FF">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'6.1'!$F$7:$F$52</c:f>
              <c:numCache>
                <c:formatCode>0.0</c:formatCode>
                <c:ptCount val="46"/>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3195060440597535"/>
          <c:y val="0.11074469991103948"/>
          <c:w val="0.15560772921943475"/>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Hydropower</c:v>
                </c:pt>
              </c:strCache>
            </c:strRef>
          </c:tx>
          <c:spPr>
            <a:solidFill>
              <a:srgbClr val="0070C0">
                <a:alpha val="80000"/>
              </a:srgbClr>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'6.2'!$B$7:$B$52</c:f>
              <c:numCache>
                <c:formatCode>0.0</c:formatCode>
                <c:ptCount val="46"/>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Windpower</c:v>
                </c:pt>
              </c:strCache>
            </c:strRef>
          </c:tx>
          <c:spPr>
            <a:solidFill>
              <a:schemeClr val="accent5">
                <a:lumMod val="60000"/>
                <a:lumOff val="40000"/>
              </a:schemeClr>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'6.2'!$C$7:$C$52</c:f>
              <c:numCache>
                <c:formatCode>0.0</c:formatCode>
                <c:ptCount val="46"/>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16.267777777777777</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Nuclear power</c:v>
                </c:pt>
              </c:strCache>
            </c:strRef>
          </c:tx>
          <c:spPr>
            <a:solidFill>
              <a:srgbClr val="FFFF00"/>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'6.2'!$D$7:$D$52</c:f>
              <c:numCache>
                <c:formatCode>0.0</c:formatCode>
                <c:ptCount val="46"/>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CHP (industry)</c:v>
                </c:pt>
              </c:strCache>
            </c:strRef>
          </c:tx>
          <c:spPr>
            <a:solidFill>
              <a:srgbClr val="FF0000"/>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'6.2'!$E$7:$E$52</c:f>
              <c:numCache>
                <c:formatCode>0.0</c:formatCode>
                <c:ptCount val="46"/>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(district heating)</c:v>
                </c:pt>
              </c:strCache>
            </c:strRef>
          </c:tx>
          <c:spPr>
            <a:solidFill>
              <a:srgbClr val="92D050"/>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'6.2'!$F$7:$F$52</c:f>
              <c:numCache>
                <c:formatCode>0.0</c:formatCode>
                <c:ptCount val="46"/>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Other thermal power</c:v>
                </c:pt>
              </c:strCache>
            </c:strRef>
          </c:tx>
          <c:spPr>
            <a:solidFill>
              <a:schemeClr val="accent1">
                <a:alpha val="80000"/>
              </a:schemeClr>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'6.2'!$G$7:$G$52</c:f>
              <c:numCache>
                <c:formatCode>0.0</c:formatCode>
                <c:ptCount val="46"/>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rgbClr val="92D050">
                <a:alpha val="80000"/>
              </a:srgb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'6.3'!$B$7:$B$39</c:f>
              <c:numCache>
                <c:formatCode>#,##0</c:formatCode>
                <c:ptCount val="33"/>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tx1">
                <a:lumMod val="65000"/>
                <a:lumOff val="35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'6.3'!$C$7:$C$39</c:f>
              <c:numCache>
                <c:formatCode>#,##0</c:formatCode>
                <c:ptCount val="33"/>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6">
                <a:lumMod val="75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'6.3'!$D$7:$D$39</c:f>
              <c:numCache>
                <c:formatCode>#,##0</c:formatCode>
                <c:ptCount val="33"/>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2207.2222222222222</c:v>
                </c:pt>
                <c:pt idx="23">
                  <c:v>2628.3333333333335</c:v>
                </c:pt>
                <c:pt idx="24">
                  <c:v>1658.6111111111111</c:v>
                </c:pt>
                <c:pt idx="25">
                  <c:v>1261.1111111111111</c:v>
                </c:pt>
                <c:pt idx="26">
                  <c:v>1520.5555555555554</c:v>
                </c:pt>
                <c:pt idx="27">
                  <c:v>2435</c:v>
                </c:pt>
                <c:pt idx="28">
                  <c:v>1094.1666666666667</c:v>
                </c:pt>
                <c:pt idx="29">
                  <c:v>921.66666666666663</c:v>
                </c:pt>
                <c:pt idx="30">
                  <c:v>540.55555555555554</c:v>
                </c:pt>
                <c:pt idx="31">
                  <c:v>436.94444444444446</c:v>
                </c:pt>
                <c:pt idx="32">
                  <c:v>372.22222222222217</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2">
                <a:lumMod val="60000"/>
                <a:lumOff val="40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'6.3'!$E$7:$E$39</c:f>
              <c:numCache>
                <c:formatCode>#,##0</c:formatCode>
                <c:ptCount val="33"/>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accent5">
                <a:lumMod val="75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'6.3'!$F$7:$F$39</c:f>
              <c:numCache>
                <c:formatCode>#,##0</c:formatCode>
                <c:ptCount val="33"/>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none"/>
        <c:minorTickMark val="none"/>
        <c:tickLblPos val="nextTo"/>
        <c:txPr>
          <a:bodyPr rot="-2700000"/>
          <a:lstStyle/>
          <a:p>
            <a:pPr>
              <a:defRPr/>
            </a:pPr>
            <a:endParaRPr lang="sv-SE"/>
          </a:p>
        </c:txPr>
        <c:crossAx val="131944448"/>
        <c:crosses val="autoZero"/>
        <c:auto val="1"/>
        <c:lblAlgn val="ctr"/>
        <c:lblOffset val="100"/>
        <c:noMultiLvlLbl val="0"/>
      </c:catAx>
      <c:valAx>
        <c:axId val="131944448"/>
        <c:scaling>
          <c:orientation val="minMax"/>
          <c:max val="25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rgbClr val="009999">
                <a:alpha val="80000"/>
              </a:srgbClr>
            </a:solidFill>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'6.5'!$B$7:$B$20</c:f>
              <c:numCache>
                <c:formatCode>#,##0</c:formatCode>
                <c:ptCount val="14"/>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1376.114</c:v>
                </c:pt>
                <c:pt idx="12">
                  <c:v>1703.2090000000001</c:v>
                </c:pt>
                <c:pt idx="13">
                  <c:v>1436.317</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Windpower</c:v>
                </c:pt>
              </c:strCache>
            </c:strRef>
          </c:tx>
          <c:spPr>
            <a:solidFill>
              <a:srgbClr val="92D050">
                <a:alpha val="79000"/>
              </a:srgbClr>
            </a:solidFill>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'6.5'!$C$7:$C$20</c:f>
              <c:numCache>
                <c:formatCode>#,##0</c:formatCode>
                <c:ptCount val="14"/>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14933.255999999999</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rgbClr val="0070C0">
                <a:alpha val="80000"/>
              </a:srgbClr>
            </a:solidFill>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'6.5'!$D$7:$D$20</c:f>
              <c:numCache>
                <c:formatCode>#,##0</c:formatCode>
                <c:ptCount val="14"/>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5154.5150000000003</c:v>
                </c:pt>
                <c:pt idx="11">
                  <c:v>4705.9449999999997</c:v>
                </c:pt>
                <c:pt idx="12">
                  <c:v>4345.2</c:v>
                </c:pt>
                <c:pt idx="13">
                  <c:v>4509.5339999999997</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'6.5'!$E$7:$E$20</c:f>
              <c:numCache>
                <c:formatCode>#,##0</c:formatCode>
                <c:ptCount val="14"/>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73.212999999999994</c:v>
                </c:pt>
                <c:pt idx="13">
                  <c:v>85.536000000000001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'6.5'!$F$7:$F$20</c:f>
              <c:numCache>
                <c:formatCode>#,##0</c:formatCode>
                <c:ptCount val="14"/>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45.344999999999999</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rgbClr val="0070C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'6.6'!$B$7:$B$26</c:f>
              <c:numCache>
                <c:formatCode>#,##0</c:formatCode>
                <c:ptCount val="20"/>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'6.6'!$C$7:$C$26</c:f>
              <c:numCache>
                <c:formatCode>#,##0</c:formatCode>
                <c:ptCount val="20"/>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chemeClr val="bg1">
                <a:lumMod val="50000"/>
                <a:alpha val="80000"/>
              </a:scheme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'6.6'!$D$7:$D$26</c:f>
              <c:numCache>
                <c:formatCode>#,##0</c:formatCode>
                <c:ptCount val="20"/>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92D05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'6.6'!$E$7:$E$26</c:f>
              <c:numCache>
                <c:formatCode>#,##0</c:formatCode>
                <c:ptCount val="20"/>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0000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'6.6'!$F$7:$F$26</c:f>
              <c:numCache>
                <c:formatCode>#,##0</c:formatCode>
                <c:ptCount val="20"/>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2">
                <a:lumMod val="60000"/>
                <a:lumOff val="40000"/>
                <a:alpha val="80000"/>
              </a:scheme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'6.6'!$G$7:$G$26</c:f>
              <c:numCache>
                <c:formatCode>#,##0</c:formatCode>
                <c:ptCount val="20"/>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Windpower</c:v>
                </c:pt>
              </c:strCache>
            </c:strRef>
          </c:tx>
          <c:spPr>
            <a:solidFill>
              <a:schemeClr val="accent5">
                <a:lumMod val="75000"/>
                <a:alpha val="80000"/>
              </a:scheme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'6.6'!$H$7:$H$26</c:f>
              <c:numCache>
                <c:formatCode>#,##0</c:formatCode>
                <c:ptCount val="20"/>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7030A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'6.6'!$I$7:$I$26</c:f>
              <c:numCache>
                <c:formatCode>#,##0</c:formatCode>
                <c:ptCount val="20"/>
                <c:pt idx="15">
                  <c:v>16</c:v>
                </c:pt>
                <c:pt idx="16">
                  <c:v>24</c:v>
                </c:pt>
                <c:pt idx="17">
                  <c:v>43</c:v>
                </c:pt>
                <c:pt idx="18">
                  <c:v>79</c:v>
                </c:pt>
                <c:pt idx="19">
                  <c:v>104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0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chemeClr val="accent4">
                <a:lumMod val="60000"/>
              </a:schemeClr>
            </a:solidFill>
            <a:ln w="25400">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'6.7'!$E$8:$E$372</c:f>
              <c:numCache>
                <c:formatCode>0</c:formatCode>
                <c:ptCount val="365"/>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4"/>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'6.7'!$H$8:$H$372</c:f>
              <c:numCache>
                <c:formatCode>0</c:formatCode>
                <c:ptCount val="365"/>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accent5"/>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'6.7'!$G$8:$G$372</c:f>
              <c:numCache>
                <c:formatCode>0</c:formatCode>
                <c:ptCount val="365"/>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5">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'6.7'!$C$8:$C$372</c:f>
              <c:numCache>
                <c:formatCode>0</c:formatCode>
                <c:ptCount val="365"/>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'6.7'!$D$8:$D$372</c:f>
              <c:numCache>
                <c:formatCode>0</c:formatCode>
                <c:ptCount val="365"/>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6"/>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'6.7'!$F$8:$F$372</c:f>
              <c:numCache>
                <c:formatCode>0</c:formatCode>
                <c:ptCount val="365"/>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0"/>
                  <a:t>GWh/vecka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chemeClr val="accent4">
                <a:lumMod val="60000"/>
              </a:schemeClr>
            </a:solidFill>
            <a:ln w="25400">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'6.7'!$N$8:$N$372</c:f>
              <c:numCache>
                <c:formatCode>0</c:formatCode>
                <c:ptCount val="365"/>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4"/>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'6.7'!$Q$8:$Q$372</c:f>
              <c:numCache>
                <c:formatCode>0</c:formatCode>
                <c:ptCount val="365"/>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accent5"/>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'6.7'!$P$8:$P$372</c:f>
              <c:numCache>
                <c:formatCode>0</c:formatCode>
                <c:ptCount val="365"/>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5">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'6.7'!$L$8:$L$372</c:f>
              <c:numCache>
                <c:formatCode>0</c:formatCode>
                <c:ptCount val="365"/>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'6.7'!$M$8:$M$372</c:f>
              <c:numCache>
                <c:formatCode>0</c:formatCode>
                <c:ptCount val="365"/>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6"/>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'6.7'!$O$8:$O$372</c:f>
              <c:numCache>
                <c:formatCode>0</c:formatCode>
                <c:ptCount val="365"/>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0"/>
                  <a:t>GWh/vecka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'2.1'!$A$3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'2.1'!$B$6</c:f>
              <c:strCache>
                <c:ptCount val="1"/>
                <c:pt idx="0">
                  <c:v>Biomass</c:v>
                </c:pt>
              </c:strCache>
            </c:strRef>
          </c:tx>
          <c:spPr>
            <a:solidFill>
              <a:srgbClr val="92D050">
                <a:alpha val="80000"/>
              </a:srgb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'2.1'!$B$7:$B$52</c:f>
              <c:numCache>
                <c:formatCode>#,##0</c:formatCode>
                <c:ptCount val="46"/>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68.259315511111112</c:v>
                </c:pt>
                <c:pt idx="36">
                  <c:v>68.648656311111111</c:v>
                </c:pt>
                <c:pt idx="37">
                  <c:v>72.487091988888892</c:v>
                </c:pt>
                <c:pt idx="38">
                  <c:v>72.421444666666659</c:v>
                </c:pt>
                <c:pt idx="39">
                  <c:v>72.024722222222223</c:v>
                </c:pt>
                <c:pt idx="40">
                  <c:v>74.099722222222212</c:v>
                </c:pt>
                <c:pt idx="41" formatCode="0">
                  <c:v>74.900555555555556</c:v>
                </c:pt>
                <c:pt idx="42" formatCode="0">
                  <c:v>76.824722222222221</c:v>
                </c:pt>
                <c:pt idx="43" formatCode="0">
                  <c:v>78.401666666666657</c:v>
                </c:pt>
                <c:pt idx="44" formatCode="0">
                  <c:v>81.065555555555548</c:v>
                </c:pt>
                <c:pt idx="45" formatCode="0">
                  <c:v>83.516666666666666</c:v>
                </c:pt>
              </c:numCache>
            </c:numRef>
          </c:val>
          <c:extLst>
            <c:ext xmlns:c16="http://schemas.microsoft.com/office/drawing/2014/chart" uri="{C3380CC4-5D6E-409C-BE32-E72D297353CC}">
              <c16:uniqueId val="{00000000-BEAD-4A7D-B083-D3FF34DC20A0}"/>
            </c:ext>
          </c:extLst>
        </c:ser>
        <c:ser>
          <c:idx val="1"/>
          <c:order val="1"/>
          <c:tx>
            <c:strRef>
              <c:f>'2.1'!$C$6</c:f>
              <c:strCache>
                <c:ptCount val="1"/>
                <c:pt idx="0">
                  <c:v>Coal and coke, incl. coke oven and blast furnace gases</c:v>
                </c:pt>
              </c:strCache>
            </c:strRef>
          </c:tx>
          <c:spPr>
            <a:solidFill>
              <a:schemeClr val="bg2">
                <a:lumMod val="50000"/>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'2.1'!$C$7:$C$52</c:f>
              <c:numCache>
                <c:formatCode>#,##0</c:formatCode>
                <c:ptCount val="46"/>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15.7425</c:v>
                </c:pt>
                <c:pt idx="36">
                  <c:v>15.942777777777778</c:v>
                </c:pt>
                <c:pt idx="37">
                  <c:v>17.362777777777776</c:v>
                </c:pt>
                <c:pt idx="38">
                  <c:v>16.03361111111111</c:v>
                </c:pt>
                <c:pt idx="39">
                  <c:v>9.8980555555555547</c:v>
                </c:pt>
                <c:pt idx="40">
                  <c:v>15.485555555555555</c:v>
                </c:pt>
                <c:pt idx="41" formatCode="0">
                  <c:v>15.754722222222222</c:v>
                </c:pt>
                <c:pt idx="42" formatCode="0">
                  <c:v>14.105</c:v>
                </c:pt>
                <c:pt idx="43" formatCode="0">
                  <c:v>14.151944444444444</c:v>
                </c:pt>
                <c:pt idx="44" formatCode="0">
                  <c:v>14.5425</c:v>
                </c:pt>
                <c:pt idx="45" formatCode="0">
                  <c:v>13.606944444444446</c:v>
                </c:pt>
              </c:numCache>
            </c:numRef>
          </c:val>
          <c:extLst>
            <c:ext xmlns:c16="http://schemas.microsoft.com/office/drawing/2014/chart" uri="{C3380CC4-5D6E-409C-BE32-E72D297353CC}">
              <c16:uniqueId val="{00000001-BEAD-4A7D-B083-D3FF34DC20A0}"/>
            </c:ext>
          </c:extLst>
        </c:ser>
        <c:ser>
          <c:idx val="2"/>
          <c:order val="2"/>
          <c:tx>
            <c:strRef>
              <c:f>'2.1'!$D$6</c:f>
              <c:strCache>
                <c:ptCount val="1"/>
                <c:pt idx="0">
                  <c:v>Petroleum products</c:v>
                </c:pt>
              </c:strCache>
            </c:strRef>
          </c:tx>
          <c:spPr>
            <a:solidFill>
              <a:schemeClr val="accent6">
                <a:lumMod val="75000"/>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'2.1'!$D$7:$D$52</c:f>
              <c:numCache>
                <c:formatCode>#,##0</c:formatCode>
                <c:ptCount val="46"/>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122.4875</c:v>
                </c:pt>
                <c:pt idx="36">
                  <c:v>119.95194444444444</c:v>
                </c:pt>
                <c:pt idx="37">
                  <c:v>118.74472222222221</c:v>
                </c:pt>
                <c:pt idx="38">
                  <c:v>113.74749999999999</c:v>
                </c:pt>
                <c:pt idx="39">
                  <c:v>108.30861111111109</c:v>
                </c:pt>
                <c:pt idx="40">
                  <c:v>111.47916666666667</c:v>
                </c:pt>
                <c:pt idx="41" formatCode="0">
                  <c:v>106.34888888888888</c:v>
                </c:pt>
                <c:pt idx="42" formatCode="0">
                  <c:v>100.16611111111111</c:v>
                </c:pt>
                <c:pt idx="43" formatCode="0">
                  <c:v>96.031944444444434</c:v>
                </c:pt>
                <c:pt idx="44" formatCode="0">
                  <c:v>92.405555555555551</c:v>
                </c:pt>
                <c:pt idx="45" formatCode="0">
                  <c:v>91.464166666666657</c:v>
                </c:pt>
              </c:numCache>
            </c:numRef>
          </c:val>
          <c:extLst>
            <c:ext xmlns:c16="http://schemas.microsoft.com/office/drawing/2014/chart" uri="{C3380CC4-5D6E-409C-BE32-E72D297353CC}">
              <c16:uniqueId val="{00000002-BEAD-4A7D-B083-D3FF34DC20A0}"/>
            </c:ext>
          </c:extLst>
        </c:ser>
        <c:ser>
          <c:idx val="3"/>
          <c:order val="3"/>
          <c:tx>
            <c:strRef>
              <c:f>'2.1'!$E$6</c:f>
              <c:strCache>
                <c:ptCount val="1"/>
                <c:pt idx="0">
                  <c:v>Natural gas, gasworks gas</c:v>
                </c:pt>
              </c:strCache>
            </c:strRef>
          </c:tx>
          <c:spPr>
            <a:solidFill>
              <a:schemeClr val="accent2">
                <a:lumMod val="60000"/>
                <a:lumOff val="40000"/>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'2.1'!$E$7:$E$52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6.3936111111111105</c:v>
                </c:pt>
                <c:pt idx="41" formatCode="0">
                  <c:v>6.1741666666666664</c:v>
                </c:pt>
                <c:pt idx="42" formatCode="0">
                  <c:v>6.346111111111111</c:v>
                </c:pt>
                <c:pt idx="43" formatCode="0">
                  <c:v>5.7380555555555546</c:v>
                </c:pt>
                <c:pt idx="44" formatCode="0">
                  <c:v>5.9086111111111101</c:v>
                </c:pt>
                <c:pt idx="45" formatCode="0">
                  <c:v>5.9463888888888885</c:v>
                </c:pt>
              </c:numCache>
            </c:numRef>
          </c:val>
          <c:extLst>
            <c:ext xmlns:c16="http://schemas.microsoft.com/office/drawing/2014/chart" uri="{C3380CC4-5D6E-409C-BE32-E72D297353CC}">
              <c16:uniqueId val="{00000003-BEAD-4A7D-B083-D3FF34DC20A0}"/>
            </c:ext>
          </c:extLst>
        </c:ser>
        <c:ser>
          <c:idx val="4"/>
          <c:order val="4"/>
          <c:tx>
            <c:strRef>
              <c:f>'2.1'!$F$6</c:f>
              <c:strCache>
                <c:ptCount val="1"/>
                <c:pt idx="0">
                  <c:v>Other fuels</c:v>
                </c:pt>
              </c:strCache>
            </c:strRef>
          </c:tx>
          <c:spPr>
            <a:solidFill>
              <a:schemeClr val="accent5">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'2.1'!$F$7:$F$52</c:f>
              <c:numCache>
                <c:formatCode>#,##0</c:formatCode>
                <c:ptCount val="46"/>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4.3747222222222231</c:v>
                </c:pt>
                <c:pt idx="41" formatCode="0">
                  <c:v>4.4030555555555555</c:v>
                </c:pt>
                <c:pt idx="42" formatCode="0">
                  <c:v>3.8863888888888889</c:v>
                </c:pt>
                <c:pt idx="43" formatCode="0">
                  <c:v>5.4094444444444445</c:v>
                </c:pt>
                <c:pt idx="44" formatCode="0">
                  <c:v>5.315833333333333</c:v>
                </c:pt>
                <c:pt idx="45" formatCode="0">
                  <c:v>4.7805555555555559</c:v>
                </c:pt>
              </c:numCache>
            </c:numRef>
          </c:val>
          <c:extLst>
            <c:ext xmlns:c16="http://schemas.microsoft.com/office/drawing/2014/chart" uri="{C3380CC4-5D6E-409C-BE32-E72D297353CC}">
              <c16:uniqueId val="{00000004-BEAD-4A7D-B083-D3FF34DC20A0}"/>
            </c:ext>
          </c:extLst>
        </c:ser>
        <c:ser>
          <c:idx val="5"/>
          <c:order val="5"/>
          <c:tx>
            <c:strRef>
              <c:f>'2.1'!$G$6</c:f>
              <c:strCache>
                <c:ptCount val="1"/>
                <c:pt idx="0">
                  <c:v>District heating</c:v>
                </c:pt>
              </c:strCache>
            </c:strRef>
          </c:tx>
          <c:spPr>
            <a:solidFill>
              <a:srgbClr val="FFFF00">
                <a:alpha val="80000"/>
              </a:srgb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'2.1'!$G$7:$G$52</c:f>
              <c:numCache>
                <c:formatCode>#,##0</c:formatCode>
                <c:ptCount val="46"/>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53.841944444444437</c:v>
                </c:pt>
                <c:pt idx="41" formatCode="0">
                  <c:v>46.978333333333339</c:v>
                </c:pt>
                <c:pt idx="42" formatCode="0">
                  <c:v>49.938611111111108</c:v>
                </c:pt>
                <c:pt idx="43" formatCode="0">
                  <c:v>50.976666666666667</c:v>
                </c:pt>
                <c:pt idx="44" formatCode="0">
                  <c:v>48.578055555555565</c:v>
                </c:pt>
                <c:pt idx="45" formatCode="0">
                  <c:v>48.595833333333331</c:v>
                </c:pt>
              </c:numCache>
            </c:numRef>
          </c:val>
          <c:extLst>
            <c:ext xmlns:c16="http://schemas.microsoft.com/office/drawing/2014/chart" uri="{C3380CC4-5D6E-409C-BE32-E72D297353CC}">
              <c16:uniqueId val="{00000005-BEAD-4A7D-B083-D3FF34DC20A0}"/>
            </c:ext>
          </c:extLst>
        </c:ser>
        <c:ser>
          <c:idx val="6"/>
          <c:order val="6"/>
          <c:tx>
            <c:strRef>
              <c:f>'2.1'!$H$6</c:f>
              <c:strCache>
                <c:ptCount val="1"/>
                <c:pt idx="0">
                  <c:v>Electricity</c:v>
                </c:pt>
              </c:strCache>
            </c:strRef>
          </c:tx>
          <c:spPr>
            <a:solidFill>
              <a:schemeClr val="accent4">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'2.1'!$H$7:$H$52</c:f>
              <c:numCache>
                <c:formatCode>#,##0</c:formatCode>
                <c:ptCount val="46"/>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129.75194444444443</c:v>
                </c:pt>
                <c:pt idx="36">
                  <c:v>130.78805555555556</c:v>
                </c:pt>
                <c:pt idx="37">
                  <c:v>129.07</c:v>
                </c:pt>
                <c:pt idx="38">
                  <c:v>126.02611111111109</c:v>
                </c:pt>
                <c:pt idx="39">
                  <c:v>123.39499999999998</c:v>
                </c:pt>
                <c:pt idx="40">
                  <c:v>129.66249999999999</c:v>
                </c:pt>
                <c:pt idx="41" formatCode="0">
                  <c:v>125.32083333333333</c:v>
                </c:pt>
                <c:pt idx="42" formatCode="0">
                  <c:v>126.425</c:v>
                </c:pt>
                <c:pt idx="43" formatCode="0">
                  <c:v>124.60805555555555</c:v>
                </c:pt>
                <c:pt idx="44" formatCode="0">
                  <c:v>120.31055555555555</c:v>
                </c:pt>
                <c:pt idx="45" formatCode="0">
                  <c:v>122.36527777777778</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4504152868741871"/>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Distribution of different types of contracts for household customers, from april 2004, percent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Designated contract </c:v>
                </c:pt>
              </c:strCache>
            </c:strRef>
          </c:tx>
          <c:spPr>
            <a:solidFill>
              <a:schemeClr val="accent1"/>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'6.13'!$B$7:$B$159</c:f>
              <c:numCache>
                <c:formatCode>0</c:formatCode>
                <c:ptCount val="153"/>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Variable price</c:v>
                </c:pt>
              </c:strCache>
            </c:strRef>
          </c:tx>
          <c:spPr>
            <a:solidFill>
              <a:schemeClr val="accent2"/>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'6.13'!$C$7:$C$159</c:f>
              <c:numCache>
                <c:formatCode>0</c:formatCode>
                <c:ptCount val="153"/>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Fixed price 1–3 years</c:v>
                </c:pt>
              </c:strCache>
            </c:strRef>
          </c:tx>
          <c:spPr>
            <a:solidFill>
              <a:schemeClr val="accent3"/>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'6.13'!$D$7:$D$159</c:f>
              <c:numCache>
                <c:formatCode>0</c:formatCode>
                <c:ptCount val="153"/>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Other contracts1</c:v>
                </c:pt>
              </c:strCache>
            </c:strRef>
          </c:tx>
          <c:spPr>
            <a:solidFill>
              <a:schemeClr val="accent4"/>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'6.13'!$E$7:$E$159</c:f>
              <c:numCache>
                <c:formatCode>0</c:formatCode>
                <c:ptCount val="153"/>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Andel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71784482106794456"/>
          <c:h val="0.76773879799465805"/>
        </c:manualLayout>
      </c:layout>
      <c:areaChart>
        <c:grouping val="stacked"/>
        <c:varyColors val="0"/>
        <c:ser>
          <c:idx val="0"/>
          <c:order val="0"/>
          <c:tx>
            <c:strRef>
              <c:f>'7.1'!$C$6</c:f>
              <c:strCache>
                <c:ptCount val="1"/>
                <c:pt idx="0">
                  <c:v>Residential and services</c:v>
                </c:pt>
              </c:strCache>
            </c:strRef>
          </c:tx>
          <c:spPr>
            <a:solidFill>
              <a:srgbClr val="92D050"/>
            </a:solidFill>
          </c:spPr>
          <c:cat>
            <c:numRef>
              <c:f>'7.1'!$A$7:$A$52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'7.1'!$C$7:$C$52</c:f>
              <c:numCache>
                <c:formatCode>0.0</c:formatCode>
                <c:ptCount val="46"/>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chemeClr val="accent1">
                <a:lumMod val="75000"/>
              </a:schemeClr>
            </a:solidFill>
          </c:spPr>
          <c:cat>
            <c:numRef>
              <c:f>'7.1'!$A$7:$A$52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'7.1'!$B$7:$B$52</c:f>
              <c:numCache>
                <c:formatCode>General</c:formatCode>
                <c:ptCount val="46"/>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4.527222222222222</c:v>
                </c:pt>
                <c:pt idx="41" formatCode="0.0">
                  <c:v>4.1194444444444445</c:v>
                </c:pt>
                <c:pt idx="42" formatCode="0.0">
                  <c:v>4.2686111111111114</c:v>
                </c:pt>
                <c:pt idx="43" formatCode="0.0">
                  <c:v>4.1830555555555557</c:v>
                </c:pt>
                <c:pt idx="44" formatCode="0.0">
                  <c:v>4.0438888888888886</c:v>
                </c:pt>
                <c:pt idx="45" formatCode="0.0">
                  <c:v>3.846111111111111</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rgbClr val="FF66FF">
                <a:alpha val="80000"/>
              </a:srgbClr>
            </a:solidFill>
          </c:spPr>
          <c:cat>
            <c:numRef>
              <c:f>'7.1'!$A$7:$A$52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'7.1'!$D$7:$D$52</c:f>
              <c:numCache>
                <c:formatCode>0.0</c:formatCode>
                <c:ptCount val="46"/>
                <c:pt idx="0">
                  <c:v>1.2990532995466884</c:v>
                </c:pt>
                <c:pt idx="1">
                  <c:v>1.3742051433221167</c:v>
                </c:pt>
                <c:pt idx="2">
                  <c:v>1.5030368755085652</c:v>
                </c:pt>
                <c:pt idx="3">
                  <c:v>1.7070204514704419</c:v>
                </c:pt>
                <c:pt idx="4">
                  <c:v>1.6855484961060336</c:v>
                </c:pt>
                <c:pt idx="5">
                  <c:v>1.9217400051145228</c:v>
                </c:pt>
                <c:pt idx="6">
                  <c:v>2.3297071570382761</c:v>
                </c:pt>
                <c:pt idx="7">
                  <c:v>2.4907468222713365</c:v>
                </c:pt>
                <c:pt idx="8">
                  <c:v>2.6947303982332129</c:v>
                </c:pt>
                <c:pt idx="9">
                  <c:v>2.8342981081018661</c:v>
                </c:pt>
                <c:pt idx="10">
                  <c:v>2.9846017956527224</c:v>
                </c:pt>
                <c:pt idx="11">
                  <c:v>3.0490176617459466</c:v>
                </c:pt>
                <c:pt idx="12">
                  <c:v>3.0382816840637425</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8164666266006726"/>
          <c:y val="0.25849358319233329"/>
          <c:w val="0.17000843799775578"/>
          <c:h val="0.530126318706668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5514755082932361"/>
          <c:h val="0.80376936783237485"/>
        </c:manualLayout>
      </c:layout>
      <c:areaChart>
        <c:grouping val="stacked"/>
        <c:varyColors val="0"/>
        <c:ser>
          <c:idx val="0"/>
          <c:order val="0"/>
          <c:tx>
            <c:strRef>
              <c:f>'7.2'!$B$6</c:f>
              <c:strCache>
                <c:ptCount val="1"/>
                <c:pt idx="0">
                  <c:v>Biomass</c:v>
                </c:pt>
              </c:strCache>
            </c:strRef>
          </c:tx>
          <c:spPr>
            <a:solidFill>
              <a:srgbClr val="00B050">
                <a:alpha val="80000"/>
              </a:srgb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'7.2'!$B$7:$B$52</c:f>
              <c:numCache>
                <c:formatCode>General</c:formatCode>
                <c:ptCount val="46"/>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tx1">
                <a:lumMod val="65000"/>
                <a:lumOff val="35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'7.2'!$C$7:$C$52</c:f>
              <c:numCache>
                <c:formatCode>General</c:formatCode>
                <c:ptCount val="46"/>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6">
                <a:lumMod val="75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'7.2'!$D$7:$D$52</c:f>
              <c:numCache>
                <c:formatCode>0.0</c:formatCode>
                <c:ptCount val="46"/>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2">
                <a:lumMod val="60000"/>
                <a:lumOff val="40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'7.2'!$E$7:$E$52</c:f>
              <c:numCache>
                <c:formatCode>General</c:formatCode>
                <c:ptCount val="46"/>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accent4">
                <a:lumMod val="50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'7.2'!$F$7:$F$52</c:f>
              <c:numCache>
                <c:formatCode>General</c:formatCode>
                <c:ptCount val="46"/>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'7.2'!$G$7:$G$52</c:f>
              <c:numCache>
                <c:formatCode>General</c:formatCode>
                <c:ptCount val="46"/>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FFC000">
                <a:alpha val="80000"/>
              </a:srgb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'7.2'!$H$7:$H$52</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2">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'7.2'!$I$7:$I$52</c:f>
              <c:numCache>
                <c:formatCode>General</c:formatCode>
                <c:ptCount val="46"/>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3767608169865548"/>
          <c:y val="0.12876140897408894"/>
          <c:w val="0.15125891299246533"/>
          <c:h val="0.7442844012070314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chemeClr val="accent1">
                <a:lumMod val="75000"/>
              </a:schemeClr>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'8.1'!$D$7:$D$39</c:f>
              <c:numCache>
                <c:formatCode>0</c:formatCode>
                <c:ptCount val="33"/>
                <c:pt idx="0">
                  <c:v>36.971769999999999</c:v>
                </c:pt>
                <c:pt idx="1">
                  <c:v>40.27469</c:v>
                </c:pt>
                <c:pt idx="2">
                  <c:v>40.774780000000007</c:v>
                </c:pt>
                <c:pt idx="3">
                  <c:v>40.94923</c:v>
                </c:pt>
                <c:pt idx="4">
                  <c:v>41.868000000000009</c:v>
                </c:pt>
                <c:pt idx="5">
                  <c:v>43.391529999999996</c:v>
                </c:pt>
                <c:pt idx="6">
                  <c:v>43.321750000000009</c:v>
                </c:pt>
                <c:pt idx="7">
                  <c:v>42.786769999999997</c:v>
                </c:pt>
                <c:pt idx="8">
                  <c:v>44.368450000000003</c:v>
                </c:pt>
                <c:pt idx="9">
                  <c:v>44.25215</c:v>
                </c:pt>
                <c:pt idx="10">
                  <c:v>45.729159999999993</c:v>
                </c:pt>
                <c:pt idx="11">
                  <c:v>46.589780000000005</c:v>
                </c:pt>
                <c:pt idx="12">
                  <c:v>49.066969999999998</c:v>
                </c:pt>
                <c:pt idx="13">
                  <c:v>48.68318</c:v>
                </c:pt>
                <c:pt idx="14">
                  <c:v>51.520900000000005</c:v>
                </c:pt>
                <c:pt idx="15">
                  <c:v>51.753500000000003</c:v>
                </c:pt>
                <c:pt idx="16">
                  <c:v>52.183810000000008</c:v>
                </c:pt>
                <c:pt idx="17">
                  <c:v>51.660460000000008</c:v>
                </c:pt>
                <c:pt idx="18">
                  <c:v>50.590499999999999</c:v>
                </c:pt>
                <c:pt idx="19">
                  <c:v>53.93994</c:v>
                </c:pt>
                <c:pt idx="20">
                  <c:v>55.260454045099998</c:v>
                </c:pt>
                <c:pt idx="21">
                  <c:v>55.353055555555557</c:v>
                </c:pt>
                <c:pt idx="22">
                  <c:v>52.990833333333327</c:v>
                </c:pt>
                <c:pt idx="23">
                  <c:v>53.305</c:v>
                </c:pt>
                <c:pt idx="24">
                  <c:v>55.093333333333327</c:v>
                </c:pt>
                <c:pt idx="25">
                  <c:v>54.157499999999999</c:v>
                </c:pt>
                <c:pt idx="26">
                  <c:v>52.617777777777775</c:v>
                </c:pt>
                <c:pt idx="27">
                  <c:v>54.421666666666667</c:v>
                </c:pt>
                <c:pt idx="28">
                  <c:v>53.971388888888889</c:v>
                </c:pt>
                <c:pt idx="29">
                  <c:v>55.175555555555555</c:v>
                </c:pt>
                <c:pt idx="30">
                  <c:v>55.329166666666666</c:v>
                </c:pt>
                <c:pt idx="31">
                  <c:v>56.402777777777771</c:v>
                </c:pt>
                <c:pt idx="32">
                  <c:v>56.738055555555555</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rgbClr val="92D050"/>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'8.1'!$F$7:$F$39</c:f>
              <c:numCache>
                <c:formatCode>0</c:formatCode>
                <c:ptCount val="33"/>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13.341666666666669</c:v>
                </c:pt>
                <c:pt idx="23">
                  <c:v>12.608888888888888</c:v>
                </c:pt>
                <c:pt idx="24">
                  <c:v>13.716111111111111</c:v>
                </c:pt>
                <c:pt idx="25">
                  <c:v>13.971944444444443</c:v>
                </c:pt>
                <c:pt idx="26">
                  <c:v>14.847777777777777</c:v>
                </c:pt>
                <c:pt idx="27">
                  <c:v>14.709999999999997</c:v>
                </c:pt>
                <c:pt idx="28">
                  <c:v>15.038611111111111</c:v>
                </c:pt>
                <c:pt idx="29">
                  <c:v>14.730833333333335</c:v>
                </c:pt>
                <c:pt idx="30">
                  <c:v>14.707499999999998</c:v>
                </c:pt>
                <c:pt idx="31">
                  <c:v>13.669166666666666</c:v>
                </c:pt>
                <c:pt idx="32">
                  <c:v>13.592222222222222</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chemeClr val="tx2">
                <a:lumMod val="60000"/>
                <a:lumOff val="40000"/>
              </a:schemeClr>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'8.1'!$E$7:$E$39</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1.9268155111111112</c:v>
                </c:pt>
                <c:pt idx="23">
                  <c:v>2.7347674222222222</c:v>
                </c:pt>
                <c:pt idx="24">
                  <c:v>3.6776475444444445</c:v>
                </c:pt>
                <c:pt idx="25">
                  <c:v>4.2920002222222218</c:v>
                </c:pt>
                <c:pt idx="26">
                  <c:v>4.559166666666667</c:v>
                </c:pt>
                <c:pt idx="27">
                  <c:v>4.9680555555555559</c:v>
                </c:pt>
                <c:pt idx="28">
                  <c:v>5.8905555555555553</c:v>
                </c:pt>
                <c:pt idx="29">
                  <c:v>6.918333333333333</c:v>
                </c:pt>
                <c:pt idx="30">
                  <c:v>8.3650000000000002</c:v>
                </c:pt>
                <c:pt idx="31">
                  <c:v>10.993611111111111</c:v>
                </c:pt>
                <c:pt idx="32">
                  <c:v>13.186388888888889</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FFFF00"/>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'8.1'!$C$7:$C$39</c:f>
              <c:numCache>
                <c:formatCode>0</c:formatCode>
                <c:ptCount val="33"/>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rgbClr val="7030A0"/>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'8.1'!$B$7:$B$39</c:f>
              <c:numCache>
                <c:formatCode>0</c:formatCode>
                <c:ptCount val="33"/>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'8.2'!$B$7:$B$17</c:f>
              <c:numCache>
                <c:formatCode>#,##0</c:formatCode>
                <c:ptCount val="11"/>
                <c:pt idx="0">
                  <c:v>8424</c:v>
                </c:pt>
                <c:pt idx="1">
                  <c:v>9807</c:v>
                </c:pt>
                <c:pt idx="2">
                  <c:v>8815</c:v>
                </c:pt>
                <c:pt idx="3">
                  <c:v>9084</c:v>
                </c:pt>
                <c:pt idx="4">
                  <c:v>11888</c:v>
                </c:pt>
                <c:pt idx="5">
                  <c:v>12081</c:v>
                </c:pt>
                <c:pt idx="6">
                  <c:v>9460</c:v>
                </c:pt>
                <c:pt idx="7">
                  <c:v>10273</c:v>
                </c:pt>
                <c:pt idx="8">
                  <c:v>10405</c:v>
                </c:pt>
                <c:pt idx="9">
                  <c:v>8231</c:v>
                </c:pt>
                <c:pt idx="10">
                  <c:v>8282</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'8.2'!$C$7:$C$17</c:f>
              <c:numCache>
                <c:formatCode>#,##0</c:formatCode>
                <c:ptCount val="11"/>
                <c:pt idx="0">
                  <c:v>45532</c:v>
                </c:pt>
                <c:pt idx="1">
                  <c:v>46659</c:v>
                </c:pt>
                <c:pt idx="2">
                  <c:v>47907</c:v>
                </c:pt>
                <c:pt idx="3">
                  <c:v>48789</c:v>
                </c:pt>
                <c:pt idx="4">
                  <c:v>49042</c:v>
                </c:pt>
                <c:pt idx="5">
                  <c:v>53812</c:v>
                </c:pt>
                <c:pt idx="6">
                  <c:v>52198</c:v>
                </c:pt>
                <c:pt idx="7">
                  <c:v>53996</c:v>
                </c:pt>
                <c:pt idx="8">
                  <c:v>52647</c:v>
                </c:pt>
                <c:pt idx="9">
                  <c:v>51871</c:v>
                </c:pt>
                <c:pt idx="10">
                  <c:v>52432</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'8.2'!$D$7:$D$17</c:f>
              <c:numCache>
                <c:formatCode>#,##0</c:formatCode>
                <c:ptCount val="11"/>
                <c:pt idx="0">
                  <c:v>39474</c:v>
                </c:pt>
                <c:pt idx="1">
                  <c:v>38222</c:v>
                </c:pt>
                <c:pt idx="2">
                  <c:v>41289</c:v>
                </c:pt>
                <c:pt idx="3">
                  <c:v>40287</c:v>
                </c:pt>
                <c:pt idx="4">
                  <c:v>40108</c:v>
                </c:pt>
                <c:pt idx="5">
                  <c:v>40782</c:v>
                </c:pt>
                <c:pt idx="6">
                  <c:v>40515</c:v>
                </c:pt>
                <c:pt idx="7">
                  <c:v>41968</c:v>
                </c:pt>
                <c:pt idx="8">
                  <c:v>42210</c:v>
                </c:pt>
                <c:pt idx="9">
                  <c:v>42945</c:v>
                </c:pt>
                <c:pt idx="10">
                  <c:v>44277</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'8.2'!$E$7:$E$17</c:f>
              <c:numCache>
                <c:formatCode>#,##0</c:formatCode>
                <c:ptCount val="11"/>
                <c:pt idx="0">
                  <c:v>658</c:v>
                </c:pt>
                <c:pt idx="1">
                  <c:v>912</c:v>
                </c:pt>
                <c:pt idx="2">
                  <c:v>728</c:v>
                </c:pt>
                <c:pt idx="3">
                  <c:v>1078</c:v>
                </c:pt>
                <c:pt idx="4">
                  <c:v>706</c:v>
                </c:pt>
                <c:pt idx="5">
                  <c:v>1349</c:v>
                </c:pt>
                <c:pt idx="6">
                  <c:v>1869</c:v>
                </c:pt>
                <c:pt idx="7">
                  <c:v>1842</c:v>
                </c:pt>
                <c:pt idx="8">
                  <c:v>1619</c:v>
                </c:pt>
                <c:pt idx="9">
                  <c:v>1555</c:v>
                </c:pt>
                <c:pt idx="10">
                  <c:v>1176</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'8.2'!$F$7:$F$17</c:f>
              <c:numCache>
                <c:formatCode>#,##0</c:formatCode>
                <c:ptCount val="11"/>
                <c:pt idx="0">
                  <c:v>1674</c:v>
                </c:pt>
                <c:pt idx="1">
                  <c:v>1916</c:v>
                </c:pt>
                <c:pt idx="2">
                  <c:v>2203</c:v>
                </c:pt>
                <c:pt idx="3">
                  <c:v>2456</c:v>
                </c:pt>
                <c:pt idx="4">
                  <c:v>2271</c:v>
                </c:pt>
                <c:pt idx="5">
                  <c:v>2333</c:v>
                </c:pt>
                <c:pt idx="6">
                  <c:v>2419</c:v>
                </c:pt>
                <c:pt idx="7">
                  <c:v>2356</c:v>
                </c:pt>
                <c:pt idx="8">
                  <c:v>2079</c:v>
                </c:pt>
                <c:pt idx="9">
                  <c:v>1917</c:v>
                </c:pt>
                <c:pt idx="10">
                  <c:v>1550</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'8.2'!$G$7:$G$17</c:f>
              <c:numCache>
                <c:formatCode>#,##0</c:formatCode>
                <c:ptCount val="11"/>
                <c:pt idx="0">
                  <c:v>97</c:v>
                </c:pt>
                <c:pt idx="1">
                  <c:v>589</c:v>
                </c:pt>
                <c:pt idx="2">
                  <c:v>1199</c:v>
                </c:pt>
                <c:pt idx="3">
                  <c:v>1508</c:v>
                </c:pt>
                <c:pt idx="4">
                  <c:v>1878</c:v>
                </c:pt>
                <c:pt idx="5">
                  <c:v>2062</c:v>
                </c:pt>
                <c:pt idx="6">
                  <c:v>2720</c:v>
                </c:pt>
                <c:pt idx="7">
                  <c:v>3735</c:v>
                </c:pt>
                <c:pt idx="8">
                  <c:v>5417</c:v>
                </c:pt>
                <c:pt idx="9">
                  <c:v>8111</c:v>
                </c:pt>
                <c:pt idx="10">
                  <c:v>10523</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oil pitch</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'8.2'!$H$7:$H$17</c:f>
              <c:numCache>
                <c:formatCode>#,##0</c:formatCode>
                <c:ptCount val="11"/>
                <c:pt idx="0">
                  <c:v>2735</c:v>
                </c:pt>
                <c:pt idx="1">
                  <c:v>3038</c:v>
                </c:pt>
                <c:pt idx="2">
                  <c:v>2491</c:v>
                </c:pt>
                <c:pt idx="3">
                  <c:v>2851</c:v>
                </c:pt>
                <c:pt idx="4">
                  <c:v>3110</c:v>
                </c:pt>
                <c:pt idx="5">
                  <c:v>3499</c:v>
                </c:pt>
                <c:pt idx="6">
                  <c:v>3324</c:v>
                </c:pt>
                <c:pt idx="7">
                  <c:v>2878</c:v>
                </c:pt>
                <c:pt idx="8">
                  <c:v>2833</c:v>
                </c:pt>
                <c:pt idx="9">
                  <c:v>3012</c:v>
                </c:pt>
                <c:pt idx="10">
                  <c:v>2533</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Vegetable and animal oils</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'8.2'!$I$7:$I$17</c:f>
              <c:numCache>
                <c:formatCode>#,##0</c:formatCode>
                <c:ptCount val="11"/>
                <c:pt idx="0">
                  <c:v>980</c:v>
                </c:pt>
                <c:pt idx="1">
                  <c:v>1971</c:v>
                </c:pt>
                <c:pt idx="2">
                  <c:v>1656</c:v>
                </c:pt>
                <c:pt idx="3">
                  <c:v>1288</c:v>
                </c:pt>
                <c:pt idx="4">
                  <c:v>1823</c:v>
                </c:pt>
                <c:pt idx="5">
                  <c:v>2253</c:v>
                </c:pt>
                <c:pt idx="6">
                  <c:v>1013</c:v>
                </c:pt>
                <c:pt idx="7">
                  <c:v>1416</c:v>
                </c:pt>
                <c:pt idx="8">
                  <c:v>1629</c:v>
                </c:pt>
                <c:pt idx="9">
                  <c:v>820</c:v>
                </c:pt>
                <c:pt idx="10">
                  <c:v>629</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Other bioliquids</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'8.2'!$J$7:$J$17</c:f>
              <c:numCache>
                <c:formatCode>#,##0</c:formatCode>
                <c:ptCount val="11"/>
                <c:pt idx="0">
                  <c:v>0</c:v>
                </c:pt>
                <c:pt idx="1">
                  <c:v>60</c:v>
                </c:pt>
                <c:pt idx="2">
                  <c:v>182</c:v>
                </c:pt>
                <c:pt idx="3">
                  <c:v>216</c:v>
                </c:pt>
                <c:pt idx="4">
                  <c:v>194</c:v>
                </c:pt>
                <c:pt idx="5">
                  <c:v>277</c:v>
                </c:pt>
                <c:pt idx="6">
                  <c:v>304</c:v>
                </c:pt>
                <c:pt idx="7">
                  <c:v>233</c:v>
                </c:pt>
                <c:pt idx="8">
                  <c:v>156</c:v>
                </c:pt>
                <c:pt idx="9">
                  <c:v>588</c:v>
                </c:pt>
                <c:pt idx="10">
                  <c:v>227</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'8.2'!$K$7:$K$17</c:f>
              <c:numCache>
                <c:formatCode>#,##0</c:formatCode>
                <c:ptCount val="11"/>
                <c:pt idx="0">
                  <c:v>413</c:v>
                </c:pt>
                <c:pt idx="1">
                  <c:v>496</c:v>
                </c:pt>
                <c:pt idx="2">
                  <c:v>685</c:v>
                </c:pt>
                <c:pt idx="3">
                  <c:v>442</c:v>
                </c:pt>
                <c:pt idx="4">
                  <c:v>877</c:v>
                </c:pt>
                <c:pt idx="5">
                  <c:v>1003</c:v>
                </c:pt>
                <c:pt idx="6">
                  <c:v>1051</c:v>
                </c:pt>
                <c:pt idx="7">
                  <c:v>1140</c:v>
                </c:pt>
                <c:pt idx="8">
                  <c:v>1295</c:v>
                </c:pt>
                <c:pt idx="9">
                  <c:v>1307</c:v>
                </c:pt>
                <c:pt idx="10">
                  <c:v>1333</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Municipal waste - bio</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'8.2'!$L$7:$L$17</c:f>
              <c:numCache>
                <c:formatCode>#,##0</c:formatCode>
                <c:ptCount val="11"/>
                <c:pt idx="0">
                  <c:v>5228</c:v>
                </c:pt>
                <c:pt idx="1">
                  <c:v>5391</c:v>
                </c:pt>
                <c:pt idx="2">
                  <c:v>6310</c:v>
                </c:pt>
                <c:pt idx="3">
                  <c:v>7422</c:v>
                </c:pt>
                <c:pt idx="4">
                  <c:v>7086</c:v>
                </c:pt>
                <c:pt idx="5">
                  <c:v>8002</c:v>
                </c:pt>
                <c:pt idx="6">
                  <c:v>8316</c:v>
                </c:pt>
                <c:pt idx="7">
                  <c:v>8972</c:v>
                </c:pt>
                <c:pt idx="8">
                  <c:v>9549</c:v>
                </c:pt>
                <c:pt idx="9">
                  <c:v>9975</c:v>
                </c:pt>
                <c:pt idx="10">
                  <c:v>10582</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none"/>
        <c:minorTickMark val="none"/>
        <c:tickLblPos val="nextTo"/>
        <c:crossAx val="67344640"/>
        <c:crosses val="autoZero"/>
        <c:auto val="1"/>
        <c:lblAlgn val="ctr"/>
        <c:lblOffset val="100"/>
        <c:noMultiLvlLbl val="0"/>
      </c:catAx>
      <c:valAx>
        <c:axId val="67344640"/>
        <c:scaling>
          <c:orientation val="minMax"/>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rgbClr val="00B050">
                <a:alpha val="80000"/>
              </a:srgbClr>
            </a:solidFill>
          </c:spPr>
          <c:cat>
            <c:numRef>
              <c:f>'8.3'!$A$7:$A$25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'8.3'!$B$7:$B$25</c:f>
              <c:numCache>
                <c:formatCode>0.00</c:formatCode>
                <c:ptCount val="19"/>
                <c:pt idx="0">
                  <c:v>0.18720000000000001</c:v>
                </c:pt>
                <c:pt idx="1">
                  <c:v>0.27839999999999998</c:v>
                </c:pt>
                <c:pt idx="2">
                  <c:v>0.38879999999999998</c:v>
                </c:pt>
                <c:pt idx="3">
                  <c:v>0.38400000000000001</c:v>
                </c:pt>
                <c:pt idx="4">
                  <c:v>0.72</c:v>
                </c:pt>
                <c:pt idx="5">
                  <c:v>1.1279999999999999</c:v>
                </c:pt>
                <c:pt idx="6">
                  <c:v>1.4256</c:v>
                </c:pt>
                <c:pt idx="7">
                  <c:v>1.6559999999999999</c:v>
                </c:pt>
                <c:pt idx="8">
                  <c:v>1.94</c:v>
                </c:pt>
                <c:pt idx="9">
                  <c:v>2.41</c:v>
                </c:pt>
                <c:pt idx="10">
                  <c:v>2.86</c:v>
                </c:pt>
                <c:pt idx="11">
                  <c:v>2.83</c:v>
                </c:pt>
                <c:pt idx="12">
                  <c:v>3.5</c:v>
                </c:pt>
                <c:pt idx="13">
                  <c:v>3.28</c:v>
                </c:pt>
                <c:pt idx="14">
                  <c:v>3.38</c:v>
                </c:pt>
                <c:pt idx="15">
                  <c:v>3.52</c:v>
                </c:pt>
                <c:pt idx="16">
                  <c:v>3.36</c:v>
                </c:pt>
                <c:pt idx="17">
                  <c:v>2.76</c:v>
                </c:pt>
                <c:pt idx="18">
                  <c:v>2.76</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rgbClr val="66FF66">
                <a:alpha val="80000"/>
              </a:srgbClr>
            </a:solidFill>
          </c:spPr>
          <c:cat>
            <c:numRef>
              <c:f>'8.3'!$A$7:$A$25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'8.3'!$C$7:$C$25</c:f>
              <c:numCache>
                <c:formatCode>0.00</c:formatCode>
                <c:ptCount val="19"/>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11.1</c:v>
                </c:pt>
                <c:pt idx="9">
                  <c:v>9.91</c:v>
                </c:pt>
                <c:pt idx="10">
                  <c:v>10.51</c:v>
                </c:pt>
                <c:pt idx="11">
                  <c:v>10.8</c:v>
                </c:pt>
                <c:pt idx="12">
                  <c:v>11.11</c:v>
                </c:pt>
                <c:pt idx="13">
                  <c:v>11.13</c:v>
                </c:pt>
                <c:pt idx="14">
                  <c:v>11.37</c:v>
                </c:pt>
                <c:pt idx="15">
                  <c:v>10.92</c:v>
                </c:pt>
                <c:pt idx="16">
                  <c:v>10.92</c:v>
                </c:pt>
                <c:pt idx="17">
                  <c:v>10.55</c:v>
                </c:pt>
                <c:pt idx="18">
                  <c:v>10.49</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6365190819335758"/>
          <c:w val="0.14869868961547092"/>
          <c:h val="0.3829818581088438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'8.9'!$B$7:$B$18</c:f>
              <c:numCache>
                <c:formatCode>#,##0</c:formatCode>
                <c:ptCount val="12"/>
                <c:pt idx="0">
                  <c:v>559</c:v>
                </c:pt>
                <c:pt idx="1">
                  <c:v>582</c:v>
                </c:pt>
                <c:pt idx="2">
                  <c:v>573</c:v>
                </c:pt>
                <c:pt idx="3">
                  <c:v>605</c:v>
                </c:pt>
                <c:pt idx="4">
                  <c:v>605</c:v>
                </c:pt>
                <c:pt idx="5">
                  <c:v>614</c:v>
                </c:pt>
                <c:pt idx="6">
                  <c:v>638</c:v>
                </c:pt>
                <c:pt idx="7">
                  <c:v>660</c:v>
                </c:pt>
                <c:pt idx="8">
                  <c:v>672</c:v>
                </c:pt>
                <c:pt idx="9">
                  <c:v>679</c:v>
                </c:pt>
                <c:pt idx="10">
                  <c:v>697</c:v>
                </c:pt>
                <c:pt idx="11">
                  <c:v>709</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'8.9'!$C$7:$C$18</c:f>
              <c:numCache>
                <c:formatCode>#,##0</c:formatCode>
                <c:ptCount val="12"/>
                <c:pt idx="0">
                  <c:v>163</c:v>
                </c:pt>
                <c:pt idx="1">
                  <c:v>184</c:v>
                </c:pt>
                <c:pt idx="2">
                  <c:v>205</c:v>
                </c:pt>
                <c:pt idx="3">
                  <c:v>240</c:v>
                </c:pt>
                <c:pt idx="4">
                  <c:v>299</c:v>
                </c:pt>
                <c:pt idx="5">
                  <c:v>344</c:v>
                </c:pt>
                <c:pt idx="6">
                  <c:v>416</c:v>
                </c:pt>
                <c:pt idx="7">
                  <c:v>507</c:v>
                </c:pt>
                <c:pt idx="8">
                  <c:v>580</c:v>
                </c:pt>
                <c:pt idx="9">
                  <c:v>717</c:v>
                </c:pt>
                <c:pt idx="10">
                  <c:v>854</c:v>
                </c:pt>
                <c:pt idx="11">
                  <c:v>944</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'8.9'!$D$7:$D$18</c:f>
              <c:numCache>
                <c:formatCode>#,##0</c:formatCode>
                <c:ptCount val="12"/>
                <c:pt idx="0">
                  <c:v>457</c:v>
                </c:pt>
                <c:pt idx="1">
                  <c:v>342</c:v>
                </c:pt>
                <c:pt idx="2">
                  <c:v>342</c:v>
                </c:pt>
                <c:pt idx="3">
                  <c:v>369</c:v>
                </c:pt>
                <c:pt idx="4">
                  <c:v>335</c:v>
                </c:pt>
                <c:pt idx="5">
                  <c:v>298</c:v>
                </c:pt>
                <c:pt idx="6">
                  <c:v>270</c:v>
                </c:pt>
                <c:pt idx="7">
                  <c:v>254</c:v>
                </c:pt>
                <c:pt idx="8">
                  <c:v>240</c:v>
                </c:pt>
                <c:pt idx="9">
                  <c:v>219</c:v>
                </c:pt>
                <c:pt idx="10">
                  <c:v>187</c:v>
                </c:pt>
                <c:pt idx="11">
                  <c:v>174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'8.9'!$E$7:$E$18</c:f>
              <c:numCache>
                <c:formatCode>#,##0</c:formatCode>
                <c:ptCount val="12"/>
                <c:pt idx="0">
                  <c:v>34</c:v>
                </c:pt>
                <c:pt idx="1">
                  <c:v>91</c:v>
                </c:pt>
                <c:pt idx="2">
                  <c:v>125</c:v>
                </c:pt>
                <c:pt idx="3">
                  <c:v>130</c:v>
                </c:pt>
                <c:pt idx="4">
                  <c:v>106</c:v>
                </c:pt>
                <c:pt idx="5">
                  <c:v>114</c:v>
                </c:pt>
                <c:pt idx="6">
                  <c:v>129</c:v>
                </c:pt>
                <c:pt idx="7">
                  <c:v>121</c:v>
                </c:pt>
                <c:pt idx="8">
                  <c:v>117</c:v>
                </c:pt>
                <c:pt idx="9">
                  <c:v>123</c:v>
                </c:pt>
                <c:pt idx="10">
                  <c:v>121</c:v>
                </c:pt>
                <c:pt idx="11">
                  <c:v>128</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Farm biogas facilities</c:v>
                </c:pt>
              </c:strCache>
            </c:strRef>
          </c:tx>
          <c:spPr>
            <a:solidFill>
              <a:srgbClr val="00B05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'8.9'!$F$7:$F$18</c:f>
              <c:numCache>
                <c:formatCode>#,##0</c:formatCode>
                <c:ptCount val="12"/>
                <c:pt idx="0">
                  <c:v>12</c:v>
                </c:pt>
                <c:pt idx="1">
                  <c:v>14</c:v>
                </c:pt>
                <c:pt idx="2">
                  <c:v>13</c:v>
                </c:pt>
                <c:pt idx="3">
                  <c:v>15</c:v>
                </c:pt>
                <c:pt idx="4">
                  <c:v>18</c:v>
                </c:pt>
                <c:pt idx="5">
                  <c:v>16</c:v>
                </c:pt>
                <c:pt idx="6">
                  <c:v>20</c:v>
                </c:pt>
                <c:pt idx="7">
                  <c:v>47</c:v>
                </c:pt>
                <c:pt idx="8">
                  <c:v>77</c:v>
                </c:pt>
                <c:pt idx="9">
                  <c:v>44</c:v>
                </c:pt>
                <c:pt idx="10">
                  <c:v>50</c:v>
                </c:pt>
                <c:pt idx="11">
                  <c:v>49</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'8.9'!$G$7:$G$18</c:f>
              <c:numCache>
                <c:formatCode>#,##0</c:formatCode>
                <c:ptCount val="12"/>
                <c:pt idx="10">
                  <c:v>38</c:v>
                </c:pt>
                <c:pt idx="11">
                  <c:v>14</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none"/>
        <c:minorTickMark val="none"/>
        <c:tickLblPos val="nextTo"/>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345856273884512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'8.11'!$B$7:$B$29</c:f>
              <c:numCache>
                <c:formatCode>General</c:formatCode>
                <c:ptCount val="23"/>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'8.11'!$C$7:$C$29</c:f>
              <c:numCache>
                <c:formatCode>General</c:formatCode>
                <c:ptCount val="23"/>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'8.11'!$D$7:$D$29</c:f>
              <c:numCache>
                <c:formatCode>General</c:formatCode>
                <c:ptCount val="23"/>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Milled peat</c:v>
                </c:pt>
              </c:strCache>
            </c:strRef>
          </c:tx>
          <c:spPr>
            <a:ln>
              <a:solidFill>
                <a:srgbClr val="33CC33"/>
              </a:solidFill>
              <a:prstDash val="sysDot"/>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'8.11'!$E$7:$E$29</c:f>
              <c:numCache>
                <c:formatCode>General</c:formatCode>
                <c:ptCount val="23"/>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Recycled wood</c:v>
                </c:pt>
              </c:strCache>
            </c:strRef>
          </c:tx>
          <c:spPr>
            <a:ln>
              <a:solidFill>
                <a:schemeClr val="accent3">
                  <a:lumMod val="50000"/>
                </a:schemeClr>
              </a:solidFill>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'8.11'!$F$7:$F$29</c:f>
              <c:numCache>
                <c:formatCode>General</c:formatCode>
                <c:ptCount val="23"/>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6759022289967493"/>
          <c:y val="0.19238315671636144"/>
          <c:w val="0.23240977710032504"/>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areaChart>
        <c:grouping val="stacked"/>
        <c:varyColors val="0"/>
        <c:ser>
          <c:idx val="0"/>
          <c:order val="0"/>
          <c:tx>
            <c:strRef>
              <c:f>'9.1'!$B$6</c:f>
              <c:strCache>
                <c:ptCount val="1"/>
                <c:pt idx="0">
                  <c:v>Industry</c:v>
                </c:pt>
              </c:strCache>
            </c:strRef>
          </c:tx>
          <c:spPr>
            <a:solidFill>
              <a:schemeClr val="accent1"/>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'9.1'!$B$7:$B$39</c:f>
              <c:numCache>
                <c:formatCode>0</c:formatCode>
                <c:ptCount val="33"/>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17.396111111111111</c:v>
                </c:pt>
                <c:pt idx="23">
                  <c:v>17.452777777777776</c:v>
                </c:pt>
                <c:pt idx="24">
                  <c:v>15.790833333333332</c:v>
                </c:pt>
                <c:pt idx="25">
                  <c:v>15.934444444444443</c:v>
                </c:pt>
                <c:pt idx="26">
                  <c:v>13.277222222222223</c:v>
                </c:pt>
                <c:pt idx="27">
                  <c:v>14.337222222222223</c:v>
                </c:pt>
                <c:pt idx="28">
                  <c:v>12.489444444444443</c:v>
                </c:pt>
                <c:pt idx="29">
                  <c:v>11.800833333333333</c:v>
                </c:pt>
                <c:pt idx="30">
                  <c:v>10.146111111111111</c:v>
                </c:pt>
                <c:pt idx="31">
                  <c:v>9.01</c:v>
                </c:pt>
                <c:pt idx="32">
                  <c:v>8.4519444444444431</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chemeClr val="accent2"/>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'9.1'!$C$7:$C$39</c:f>
              <c:numCache>
                <c:formatCode>0</c:formatCode>
                <c:ptCount val="33"/>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86.144999999999996</c:v>
                </c:pt>
                <c:pt idx="23">
                  <c:v>85.988611111111112</c:v>
                </c:pt>
                <c:pt idx="24">
                  <c:v>86.390833333333333</c:v>
                </c:pt>
                <c:pt idx="25">
                  <c:v>82.751944444444433</c:v>
                </c:pt>
                <c:pt idx="26">
                  <c:v>81.208333333333329</c:v>
                </c:pt>
                <c:pt idx="27">
                  <c:v>82.779166666666669</c:v>
                </c:pt>
                <c:pt idx="28">
                  <c:v>80.166111111111107</c:v>
                </c:pt>
                <c:pt idx="29">
                  <c:v>75.606666666666669</c:v>
                </c:pt>
                <c:pt idx="30">
                  <c:v>73.343333333333334</c:v>
                </c:pt>
                <c:pt idx="31">
                  <c:v>71.093611111111116</c:v>
                </c:pt>
                <c:pt idx="32">
                  <c:v>70.953888888888883</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'9.1'!$D$7:$D$39</c:f>
              <c:numCache>
                <c:formatCode>0</c:formatCode>
                <c:ptCount val="33"/>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6.23</c:v>
                </c:pt>
                <c:pt idx="23">
                  <c:v>6.1086111111111112</c:v>
                </c:pt>
                <c:pt idx="24">
                  <c:v>6.8344444444444434</c:v>
                </c:pt>
                <c:pt idx="25">
                  <c:v>6.6344444444444441</c:v>
                </c:pt>
                <c:pt idx="26">
                  <c:v>6.4375</c:v>
                </c:pt>
                <c:pt idx="27">
                  <c:v>6.8166666666666664</c:v>
                </c:pt>
                <c:pt idx="28">
                  <c:v>6.8208333333333337</c:v>
                </c:pt>
                <c:pt idx="29">
                  <c:v>6.5794444444444435</c:v>
                </c:pt>
                <c:pt idx="30">
                  <c:v>6.6222222222222218</c:v>
                </c:pt>
                <c:pt idx="31">
                  <c:v>6.5788888888888888</c:v>
                </c:pt>
                <c:pt idx="32">
                  <c:v>6.3888888888888884</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4"/>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'9.1'!$E$7:$E$39</c:f>
              <c:numCache>
                <c:formatCode>0</c:formatCode>
                <c:ptCount val="33"/>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2.7266666666666666</c:v>
                </c:pt>
                <c:pt idx="23">
                  <c:v>2.8149999999999999</c:v>
                </c:pt>
                <c:pt idx="24">
                  <c:v>3.0244444444444443</c:v>
                </c:pt>
                <c:pt idx="25">
                  <c:v>3.1297222222222221</c:v>
                </c:pt>
                <c:pt idx="26">
                  <c:v>3.0458333333333334</c:v>
                </c:pt>
                <c:pt idx="27">
                  <c:v>3.0855555555555556</c:v>
                </c:pt>
                <c:pt idx="28">
                  <c:v>3.1652777777777779</c:v>
                </c:pt>
                <c:pt idx="29">
                  <c:v>3.1669444444444443</c:v>
                </c:pt>
                <c:pt idx="30">
                  <c:v>3.2655555555555558</c:v>
                </c:pt>
                <c:pt idx="31">
                  <c:v>3.2838888888888889</c:v>
                </c:pt>
                <c:pt idx="32">
                  <c:v>3.4133333333333331</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accent5"/>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'9.1'!$F$7:$F$39</c:f>
              <c:numCache>
                <c:formatCode>0</c:formatCode>
                <c:ptCount val="33"/>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6"/>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'9.1'!$G$7:$G$39</c:f>
              <c:numCache>
                <c:formatCode>0</c:formatCode>
                <c:ptCount val="33"/>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c:v>
                </c:pt>
                <c:pt idx="23">
                  <c:v>1.9924999999999999</c:v>
                </c:pt>
                <c:pt idx="24">
                  <c:v>2.0680555555555555</c:v>
                </c:pt>
                <c:pt idx="25">
                  <c:v>1.7169444444444444</c:v>
                </c:pt>
                <c:pt idx="26">
                  <c:v>1.4413888888888888</c:v>
                </c:pt>
                <c:pt idx="27">
                  <c:v>1.8158333333333332</c:v>
                </c:pt>
                <c:pt idx="28">
                  <c:v>1.6702777777777778</c:v>
                </c:pt>
                <c:pt idx="29">
                  <c:v>0.98638888888888887</c:v>
                </c:pt>
                <c:pt idx="30">
                  <c:v>0.93027777777777776</c:v>
                </c:pt>
                <c:pt idx="31">
                  <c:v>0.94666666666666666</c:v>
                </c:pt>
                <c:pt idx="32">
                  <c:v>0.78194444444444444</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accent1">
                <a:lumMod val="60000"/>
              </a:schemeClr>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'9.1'!$H$7:$H$39</c:f>
              <c:numCache>
                <c:formatCode>0</c:formatCode>
                <c:ptCount val="33"/>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7.1372222222222215</c:v>
                </c:pt>
                <c:pt idx="23">
                  <c:v>4.9036111111111111</c:v>
                </c:pt>
                <c:pt idx="24">
                  <c:v>3.7655555555555558</c:v>
                </c:pt>
                <c:pt idx="25">
                  <c:v>3.0024999999999999</c:v>
                </c:pt>
                <c:pt idx="26">
                  <c:v>2.3777777777777778</c:v>
                </c:pt>
                <c:pt idx="27">
                  <c:v>2.1225000000000001</c:v>
                </c:pt>
                <c:pt idx="28">
                  <c:v>1.618611111111111</c:v>
                </c:pt>
                <c:pt idx="29">
                  <c:v>1.5622222222222222</c:v>
                </c:pt>
                <c:pt idx="30">
                  <c:v>1.4516666666666667</c:v>
                </c:pt>
                <c:pt idx="31">
                  <c:v>1.2530555555555554</c:v>
                </c:pt>
                <c:pt idx="32">
                  <c:v>1.2330555555555553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7787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Petrol</c:v>
                </c:pt>
              </c:strCache>
            </c:strRef>
          </c:tx>
          <c:spPr>
            <a:solidFill>
              <a:schemeClr val="accent6">
                <a:lumMod val="7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'9.2'!$C$7:$C$39</c:f>
              <c:numCache>
                <c:formatCode>#,##0</c:formatCode>
                <c:ptCount val="33"/>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47.699166666666663</c:v>
                </c:pt>
                <c:pt idx="23">
                  <c:v>46.820555555555558</c:v>
                </c:pt>
                <c:pt idx="24">
                  <c:v>46.293888888888887</c:v>
                </c:pt>
                <c:pt idx="25">
                  <c:v>43.12083333333333</c:v>
                </c:pt>
                <c:pt idx="26">
                  <c:v>42.285833333333336</c:v>
                </c:pt>
                <c:pt idx="27">
                  <c:v>39.774444444444441</c:v>
                </c:pt>
                <c:pt idx="28">
                  <c:v>36.943333333333335</c:v>
                </c:pt>
                <c:pt idx="29">
                  <c:v>33.930277777777775</c:v>
                </c:pt>
                <c:pt idx="30">
                  <c:v>32.183055555555555</c:v>
                </c:pt>
                <c:pt idx="31">
                  <c:v>30.950555555555557</c:v>
                </c:pt>
                <c:pt idx="32">
                  <c:v>30.22388888888889</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'9.2'!$E$7:$E$39</c:f>
              <c:numCache>
                <c:formatCode>#,##0</c:formatCode>
                <c:ptCount val="33"/>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42.443055555555553</c:v>
                </c:pt>
                <c:pt idx="23">
                  <c:v>43.49666666666667</c:v>
                </c:pt>
                <c:pt idx="24">
                  <c:v>45.346111111111114</c:v>
                </c:pt>
                <c:pt idx="25">
                  <c:v>45.806111111111115</c:v>
                </c:pt>
                <c:pt idx="26">
                  <c:v>44.74722222222222</c:v>
                </c:pt>
                <c:pt idx="27">
                  <c:v>48.575000000000003</c:v>
                </c:pt>
                <c:pt idx="28">
                  <c:v>49.519444444444446</c:v>
                </c:pt>
                <c:pt idx="29">
                  <c:v>48.111944444444447</c:v>
                </c:pt>
                <c:pt idx="30">
                  <c:v>47.672499999999999</c:v>
                </c:pt>
                <c:pt idx="31">
                  <c:v>46.773333333333333</c:v>
                </c:pt>
                <c:pt idx="32">
                  <c:v>47.604999999999997</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Light heating oil</c:v>
                </c:pt>
              </c:strCache>
            </c:strRef>
          </c:tx>
          <c:spPr>
            <a:solidFill>
              <a:srgbClr val="FFC000"/>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'9.2'!$F$7:$F$39</c:f>
              <c:numCache>
                <c:formatCode>#,##0</c:formatCode>
                <c:ptCount val="33"/>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13.311388888888889</c:v>
                </c:pt>
                <c:pt idx="23">
                  <c:v>10.52138888888889</c:v>
                </c:pt>
                <c:pt idx="24">
                  <c:v>9.1497222222222216</c:v>
                </c:pt>
                <c:pt idx="25">
                  <c:v>7.3763888888888891</c:v>
                </c:pt>
                <c:pt idx="26">
                  <c:v>6.3922222222222222</c:v>
                </c:pt>
                <c:pt idx="27">
                  <c:v>6.3133333333333335</c:v>
                </c:pt>
                <c:pt idx="28">
                  <c:v>5.2705555555555552</c:v>
                </c:pt>
                <c:pt idx="29">
                  <c:v>5.1311111111111112</c:v>
                </c:pt>
                <c:pt idx="30">
                  <c:v>4.6397222222222219</c:v>
                </c:pt>
                <c:pt idx="31">
                  <c:v>4.1224999999999996</c:v>
                </c:pt>
                <c:pt idx="32">
                  <c:v>4.1894444444444447</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Heavy fuel oil</c:v>
                </c:pt>
              </c:strCache>
            </c:strRef>
          </c:tx>
          <c:spPr>
            <a:solidFill>
              <a:srgbClr val="C00000"/>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'9.2'!$G$7:$G$39</c:f>
              <c:numCache>
                <c:formatCode>#,##0</c:formatCode>
                <c:ptCount val="33"/>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10.571666666666667</c:v>
                </c:pt>
                <c:pt idx="23">
                  <c:v>10.136111111111111</c:v>
                </c:pt>
                <c:pt idx="24">
                  <c:v>8.9172222222222217</c:v>
                </c:pt>
                <c:pt idx="25">
                  <c:v>8.6194444444444436</c:v>
                </c:pt>
                <c:pt idx="26">
                  <c:v>7.7397222222222224</c:v>
                </c:pt>
                <c:pt idx="27">
                  <c:v>8.8502777777777784</c:v>
                </c:pt>
                <c:pt idx="28">
                  <c:v>6.703611111111111</c:v>
                </c:pt>
                <c:pt idx="29">
                  <c:v>6.0636111111111113</c:v>
                </c:pt>
                <c:pt idx="30">
                  <c:v>4.9530555555555553</c:v>
                </c:pt>
                <c:pt idx="31">
                  <c:v>3.8419444444444446</c:v>
                </c:pt>
                <c:pt idx="32">
                  <c:v>2.9030555555555555</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Light distillates</c:v>
                </c:pt>
              </c:strCache>
            </c:strRef>
          </c:tx>
          <c:spPr>
            <a:solidFill>
              <a:schemeClr val="accent1">
                <a:lumMod val="60000"/>
                <a:lumOff val="40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'9.2'!$D$7:$D$39</c:f>
              <c:numCache>
                <c:formatCode>#,##0</c:formatCode>
                <c:ptCount val="33"/>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2.7250000000000001</c:v>
                </c:pt>
                <c:pt idx="23">
                  <c:v>2.5249999999999999</c:v>
                </c:pt>
                <c:pt idx="24">
                  <c:v>2.4680555555555554</c:v>
                </c:pt>
                <c:pt idx="25">
                  <c:v>2.3111111111111109</c:v>
                </c:pt>
                <c:pt idx="26">
                  <c:v>2.0247222222222221</c:v>
                </c:pt>
                <c:pt idx="27">
                  <c:v>1.9030555555555555</c:v>
                </c:pt>
                <c:pt idx="28">
                  <c:v>2.0911111111111111</c:v>
                </c:pt>
                <c:pt idx="29">
                  <c:v>2.0544444444444445</c:v>
                </c:pt>
                <c:pt idx="30">
                  <c:v>2.0686111111111112</c:v>
                </c:pt>
                <c:pt idx="31">
                  <c:v>2.0569444444444445</c:v>
                </c:pt>
                <c:pt idx="32">
                  <c:v>2.0322222222222224</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LPG</c:v>
                </c:pt>
              </c:strCache>
            </c:strRef>
          </c:tx>
          <c:spPr>
            <a:solidFill>
              <a:schemeClr val="bg1">
                <a:lumMod val="7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'9.2'!$B$7:$B$39</c:f>
              <c:numCache>
                <c:formatCode>#,##0</c:formatCode>
                <c:ptCount val="33"/>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5.166666666666667</c:v>
                </c:pt>
                <c:pt idx="23">
                  <c:v>5.4725000000000001</c:v>
                </c:pt>
                <c:pt idx="24">
                  <c:v>5.6449999999999996</c:v>
                </c:pt>
                <c:pt idx="25">
                  <c:v>5.528888888888889</c:v>
                </c:pt>
                <c:pt idx="26">
                  <c:v>4.3</c:v>
                </c:pt>
                <c:pt idx="27">
                  <c:v>5.2344444444444447</c:v>
                </c:pt>
                <c:pt idx="28">
                  <c:v>5.1752777777777776</c:v>
                </c:pt>
                <c:pt idx="29">
                  <c:v>4.1688888888888886</c:v>
                </c:pt>
                <c:pt idx="30">
                  <c:v>4.1094444444444447</c:v>
                </c:pt>
                <c:pt idx="31">
                  <c:v>4.2455555555555557</c:v>
                </c:pt>
                <c:pt idx="32">
                  <c:v>4.1488888888888891</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Other</c:v>
                </c:pt>
              </c:strCache>
            </c:strRef>
          </c:tx>
          <c:spPr>
            <a:solidFill>
              <a:schemeClr val="tx1">
                <a:lumMod val="65000"/>
                <a:lumOff val="3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'9.2'!$H$7:$H$39</c:f>
              <c:numCache>
                <c:formatCode>#,##0</c:formatCode>
                <c:ptCount val="33"/>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baseline="0">
                <a:effectLst/>
              </a:rPr>
              <a:t>Sveriges totala slutliga energianvändning per energibärare </a:t>
            </a:r>
          </a:p>
          <a:p>
            <a:pPr algn="l">
              <a:defRPr sz="1200" b="0"/>
            </a:pPr>
            <a:r>
              <a:rPr lang="sv-SE" sz="1200" b="0" i="0" baseline="0">
                <a:effectLst/>
              </a:rPr>
              <a:t>2015, 375 TWh, uttryckt i procent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'2.1'!$B$6:$H$6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'2.1'!$B$52:$H$52</c:f>
              <c:numCache>
                <c:formatCode>0</c:formatCode>
                <c:ptCount val="7"/>
                <c:pt idx="0">
                  <c:v>83.516666666666666</c:v>
                </c:pt>
                <c:pt idx="1">
                  <c:v>13.606944444444446</c:v>
                </c:pt>
                <c:pt idx="2">
                  <c:v>91.464166666666657</c:v>
                </c:pt>
                <c:pt idx="3">
                  <c:v>5.9463888888888885</c:v>
                </c:pt>
                <c:pt idx="4">
                  <c:v>4.7805555555555559</c:v>
                </c:pt>
                <c:pt idx="5">
                  <c:v>48.595833333333331</c:v>
                </c:pt>
                <c:pt idx="6">
                  <c:v>122.36527777777778</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5530661251154096"/>
          <c:h val="0.61272633014046762"/>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'9.3'!$B$7:$B$50</c:f>
              <c:numCache>
                <c:formatCode>0.0</c:formatCode>
                <c:ptCount val="44"/>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2">
                <a:alpha val="80000"/>
              </a:schemeClr>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'9.3'!$C$7:$C$50</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'9.3'!$D$7:$D$50</c:f>
              <c:numCache>
                <c:formatCode>0.0</c:formatCode>
                <c:ptCount val="44"/>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rgbClr val="FFC000"/>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'9.3'!$E$7:$E$50</c:f>
              <c:numCache>
                <c:formatCode>0.0</c:formatCode>
                <c:ptCount val="44"/>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'9.6'!$B$7:$B$47</c:f>
              <c:numCache>
                <c:formatCode>0</c:formatCode>
                <c:ptCount val="41"/>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'9.6'!$C$7:$C$47</c:f>
              <c:numCache>
                <c:formatCode>0</c:formatCode>
                <c:ptCount val="41"/>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'9.6'!$D$7:$D$47</c:f>
              <c:numCache>
                <c:formatCode>0</c:formatCode>
                <c:ptCount val="41"/>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alpha val="80000"/>
              </a:srgb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'10.1'!$B$7:$B$39</c:f>
              <c:numCache>
                <c:formatCode>0.0</c:formatCode>
                <c:ptCount val="33"/>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3.305277777777778</c:v>
                </c:pt>
                <c:pt idx="23">
                  <c:v>3.6933333333333329</c:v>
                </c:pt>
                <c:pt idx="24">
                  <c:v>3.5905555555555555</c:v>
                </c:pt>
                <c:pt idx="25">
                  <c:v>3.68</c:v>
                </c:pt>
                <c:pt idx="26">
                  <c:v>3.4261111111111107</c:v>
                </c:pt>
                <c:pt idx="27">
                  <c:v>3.7388888888888885</c:v>
                </c:pt>
                <c:pt idx="28">
                  <c:v>4.1302777777777777</c:v>
                </c:pt>
                <c:pt idx="29">
                  <c:v>4.1305555555555555</c:v>
                </c:pt>
                <c:pt idx="30">
                  <c:v>3.6163888888888889</c:v>
                </c:pt>
                <c:pt idx="31">
                  <c:v>3.638611111111111</c:v>
                </c:pt>
                <c:pt idx="32">
                  <c:v>3.9147222222222222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chemeClr val="accent5">
                <a:alpha val="80000"/>
              </a:scheme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'10.1'!$C$7:$C$39</c:f>
              <c:numCache>
                <c:formatCode>0.0</c:formatCode>
                <c:ptCount val="33"/>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rgbClr val="92D050">
                <a:alpha val="80000"/>
              </a:srgb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'10.1'!$D$7:$D$39</c:f>
              <c:numCache>
                <c:formatCode>0.0</c:formatCode>
                <c:ptCount val="33"/>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'10.1'!$E$7:$E$39</c:f>
              <c:numCache>
                <c:formatCode>0.0</c:formatCode>
                <c:ptCount val="33"/>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3.0188888888888887</c:v>
                </c:pt>
                <c:pt idx="23">
                  <c:v>2.8647222222222224</c:v>
                </c:pt>
                <c:pt idx="24">
                  <c:v>3.8352777777777778</c:v>
                </c:pt>
                <c:pt idx="25">
                  <c:v>3.0738888888888889</c:v>
                </c:pt>
                <c:pt idx="26">
                  <c:v>6.5274999999999999</c:v>
                </c:pt>
                <c:pt idx="27">
                  <c:v>9.8138888888888882</c:v>
                </c:pt>
                <c:pt idx="28">
                  <c:v>6.33</c:v>
                </c:pt>
                <c:pt idx="29">
                  <c:v>4.4811111111111117</c:v>
                </c:pt>
                <c:pt idx="30">
                  <c:v>4.4400000000000004</c:v>
                </c:pt>
                <c:pt idx="31">
                  <c:v>2.3730555555555557</c:v>
                </c:pt>
                <c:pt idx="32">
                  <c:v>2.4836111111111108</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tx1">
                <a:lumMod val="65000"/>
                <a:lumOff val="35000"/>
                <a:alpha val="80000"/>
              </a:scheme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'10.1'!$F$7:$F$39</c:f>
              <c:numCache>
                <c:formatCode>0.0</c:formatCode>
                <c:ptCount val="33"/>
                <c:pt idx="26">
                  <c:v>1.2272222222222222</c:v>
                </c:pt>
                <c:pt idx="27">
                  <c:v>1.1902777777777778</c:v>
                </c:pt>
                <c:pt idx="28">
                  <c:v>1.2452777777777779</c:v>
                </c:pt>
                <c:pt idx="29">
                  <c:v>1.2330555555555553</c:v>
                </c:pt>
                <c:pt idx="30">
                  <c:v>1.141388888888889</c:v>
                </c:pt>
                <c:pt idx="31">
                  <c:v>1.1755555555555555</c:v>
                </c:pt>
                <c:pt idx="32">
                  <c:v>1.2655555555555553</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lineChart>
        <c:grouping val="standard"/>
        <c:varyColors val="0"/>
        <c:ser>
          <c:idx val="1"/>
          <c:order val="0"/>
          <c:tx>
            <c:strRef>
              <c:f>'10.2'!$B$6</c:f>
              <c:strCache>
                <c:ptCount val="1"/>
                <c:pt idx="0">
                  <c:v>Asia: LNG Japan</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'10.2'!$B$7:$B$39</c:f>
              <c:numCache>
                <c:formatCode>0.0</c:formatCode>
                <c:ptCount val="33"/>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Spot + long-term contract: average German import</c:v>
                </c:pt>
              </c:strCache>
            </c:strRef>
          </c:tx>
          <c:spPr>
            <a:ln>
              <a:solidFill>
                <a:schemeClr val="accent6"/>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'10.2'!$C$7:$C$39</c:f>
              <c:numCache>
                <c:formatCode>0.0</c:formatCode>
                <c:ptCount val="33"/>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European spot: UK NBP</c:v>
                </c:pt>
              </c:strCache>
            </c:strRef>
          </c:tx>
          <c:spPr>
            <a:ln>
              <a:solidFill>
                <a:srgbClr val="00B0F0"/>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'10.2'!$D$7:$D$39</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'10.2'!$E$7:$E$39</c:f>
              <c:numCache>
                <c:formatCode>0.0</c:formatCode>
                <c:ptCount val="33"/>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none"/>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0" sourceLinked="1"/>
        <c:majorTickMark val="none"/>
        <c:minorTickMark val="none"/>
        <c:tickLblPos val="nextTo"/>
        <c:crossAx val="36471552"/>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4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rgbClr val="92D050"/>
            </a:solid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'11.1'!$B$7:$B$39</c:f>
              <c:numCache>
                <c:formatCode>#\ ##0.0</c:formatCode>
                <c:ptCount val="33"/>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9999FF">
                <a:alpha val="80000"/>
              </a:srgbClr>
            </a:solid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'11.1'!$C$7:$C$39</c:f>
              <c:numCache>
                <c:formatCode>#\ ##0.0</c:formatCode>
                <c:ptCount val="33"/>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rgbClr val="002060">
                <a:alpha val="80000"/>
              </a:srgbClr>
            </a:solid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'11.1'!$D$7:$D$39</c:f>
              <c:numCache>
                <c:formatCode>#\ ##0.0</c:formatCode>
                <c:ptCount val="33"/>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11.994166666666667</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'11.1'!$E$7:$E$39</c:f>
              <c:numCache>
                <c:formatCode>#\ ##0.0</c:formatCode>
                <c:ptCount val="33"/>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'11.2'!$B$7:$B$33</c:f>
              <c:numCache>
                <c:formatCode>0</c:formatCode>
                <c:ptCount val="27"/>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'11.2'!$C$7:$C$33</c:f>
              <c:numCache>
                <c:formatCode>0</c:formatCode>
                <c:ptCount val="27"/>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62.96</c:v>
                </c:pt>
                <c:pt idx="17">
                  <c:v>51.16</c:v>
                </c:pt>
                <c:pt idx="18">
                  <c:v>118.79</c:v>
                </c:pt>
                <c:pt idx="19">
                  <c:v>68.08</c:v>
                </c:pt>
                <c:pt idx="20">
                  <c:v>71.63</c:v>
                </c:pt>
                <c:pt idx="21">
                  <c:v>87.38</c:v>
                </c:pt>
                <c:pt idx="22">
                  <c:v>72.06</c:v>
                </c:pt>
                <c:pt idx="23">
                  <c:v>71.39</c:v>
                </c:pt>
                <c:pt idx="24">
                  <c:v>69</c:v>
                </c:pt>
                <c:pt idx="25">
                  <c:v>53.59</c:v>
                </c:pt>
                <c:pt idx="26">
                  <c:v>53.56</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'11.2'!$D$7:$D$33</c:f>
              <c:numCache>
                <c:formatCode>0</c:formatCode>
                <c:ptCount val="27"/>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69.91</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accent6">
                <a:lumMod val="75000"/>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'12.1'!$B$7:$B$31</c:f>
              <c:numCache>
                <c:formatCode>#,##0</c:formatCode>
                <c:ptCount val="25"/>
                <c:pt idx="0">
                  <c:v>25827.14805</c:v>
                </c:pt>
                <c:pt idx="1">
                  <c:v>25139.41963</c:v>
                </c:pt>
                <c:pt idx="2">
                  <c:v>24715.68058</c:v>
                </c:pt>
                <c:pt idx="3">
                  <c:v>24786.937589999998</c:v>
                </c:pt>
                <c:pt idx="4">
                  <c:v>25016.5952</c:v>
                </c:pt>
                <c:pt idx="5">
                  <c:v>25681.935870000001</c:v>
                </c:pt>
                <c:pt idx="6">
                  <c:v>26107.77995</c:v>
                </c:pt>
                <c:pt idx="7">
                  <c:v>25917.396850000001</c:v>
                </c:pt>
                <c:pt idx="8">
                  <c:v>25844.26741</c:v>
                </c:pt>
                <c:pt idx="9">
                  <c:v>25944.552899999999</c:v>
                </c:pt>
                <c:pt idx="10">
                  <c:v>27243.49597</c:v>
                </c:pt>
                <c:pt idx="11">
                  <c:v>27444.892680000001</c:v>
                </c:pt>
                <c:pt idx="12">
                  <c:v>28198.16778</c:v>
                </c:pt>
                <c:pt idx="13">
                  <c:v>30283.31048</c:v>
                </c:pt>
                <c:pt idx="14">
                  <c:v>32829.931579999997</c:v>
                </c:pt>
                <c:pt idx="15">
                  <c:v>34311.186529999999</c:v>
                </c:pt>
                <c:pt idx="16">
                  <c:v>36318.152369999996</c:v>
                </c:pt>
                <c:pt idx="17">
                  <c:v>37607.407650000001</c:v>
                </c:pt>
                <c:pt idx="18">
                  <c:v>37857.46428</c:v>
                </c:pt>
                <c:pt idx="19">
                  <c:v>38135.0026</c:v>
                </c:pt>
                <c:pt idx="20">
                  <c:v>40775.396390000002</c:v>
                </c:pt>
                <c:pt idx="21">
                  <c:v>44075.513559999999</c:v>
                </c:pt>
                <c:pt idx="22">
                  <c:v>44634.335059999998</c:v>
                </c:pt>
                <c:pt idx="23">
                  <c:v>45440.898820000002</c:v>
                </c:pt>
                <c:pt idx="24">
                  <c:v>45572.050329999998</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 </c:v>
                </c:pt>
              </c:strCache>
            </c:strRef>
          </c:tx>
          <c:spPr>
            <a:solidFill>
              <a:schemeClr val="tx1">
                <a:lumMod val="75000"/>
                <a:lumOff val="25000"/>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'12.1'!$C$7:$C$31</c:f>
              <c:numCache>
                <c:formatCode>#,##0</c:formatCode>
                <c:ptCount val="25"/>
                <c:pt idx="0">
                  <c:v>37590.33481</c:v>
                </c:pt>
                <c:pt idx="1">
                  <c:v>37773.40264</c:v>
                </c:pt>
                <c:pt idx="2">
                  <c:v>37972.717579999997</c:v>
                </c:pt>
                <c:pt idx="3">
                  <c:v>38218.075689999998</c:v>
                </c:pt>
                <c:pt idx="4">
                  <c:v>38437.743130000003</c:v>
                </c:pt>
                <c:pt idx="5">
                  <c:v>39215.569159999999</c:v>
                </c:pt>
                <c:pt idx="6">
                  <c:v>40226.983739999996</c:v>
                </c:pt>
                <c:pt idx="7">
                  <c:v>41235.141920000002</c:v>
                </c:pt>
                <c:pt idx="8">
                  <c:v>41355.547310000002</c:v>
                </c:pt>
                <c:pt idx="9">
                  <c:v>42164.972049999997</c:v>
                </c:pt>
                <c:pt idx="10">
                  <c:v>42560.950290000001</c:v>
                </c:pt>
                <c:pt idx="11">
                  <c:v>43076.554709999997</c:v>
                </c:pt>
                <c:pt idx="12">
                  <c:v>43470.218580000001</c:v>
                </c:pt>
                <c:pt idx="13">
                  <c:v>44374.613899999997</c:v>
                </c:pt>
                <c:pt idx="14">
                  <c:v>46227.796249999999</c:v>
                </c:pt>
                <c:pt idx="15">
                  <c:v>46596.944080000001</c:v>
                </c:pt>
                <c:pt idx="16">
                  <c:v>47128.469969999998</c:v>
                </c:pt>
                <c:pt idx="17">
                  <c:v>47484.975989999999</c:v>
                </c:pt>
                <c:pt idx="18">
                  <c:v>47456.470860000001</c:v>
                </c:pt>
                <c:pt idx="19">
                  <c:v>46540.503689999998</c:v>
                </c:pt>
                <c:pt idx="20">
                  <c:v>48048.030809999997</c:v>
                </c:pt>
                <c:pt idx="21">
                  <c:v>48125.521499999995</c:v>
                </c:pt>
                <c:pt idx="22">
                  <c:v>48936.190649999997</c:v>
                </c:pt>
                <c:pt idx="23">
                  <c:v>49030.358759999996</c:v>
                </c:pt>
                <c:pt idx="24">
                  <c:v>49838.038999999997</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2">
                <a:lumMod val="60000"/>
                <a:lumOff val="40000"/>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'12.1'!$D$7:$D$31</c:f>
              <c:numCache>
                <c:formatCode>#,##0</c:formatCode>
                <c:ptCount val="25"/>
                <c:pt idx="0">
                  <c:v>19342.574059999999</c:v>
                </c:pt>
                <c:pt idx="1">
                  <c:v>20011.845669999999</c:v>
                </c:pt>
                <c:pt idx="2">
                  <c:v>20034.686989999998</c:v>
                </c:pt>
                <c:pt idx="3">
                  <c:v>20371.910469999999</c:v>
                </c:pt>
                <c:pt idx="4">
                  <c:v>20363.885770000001</c:v>
                </c:pt>
                <c:pt idx="5">
                  <c:v>21018.480319999999</c:v>
                </c:pt>
                <c:pt idx="6">
                  <c:v>21784.164629999999</c:v>
                </c:pt>
                <c:pt idx="7">
                  <c:v>21972.814859999999</c:v>
                </c:pt>
                <c:pt idx="8">
                  <c:v>22179.18921</c:v>
                </c:pt>
                <c:pt idx="9">
                  <c:v>23184.881829999998</c:v>
                </c:pt>
                <c:pt idx="10">
                  <c:v>24040.849829999999</c:v>
                </c:pt>
                <c:pt idx="11">
                  <c:v>24160.196889999999</c:v>
                </c:pt>
                <c:pt idx="12">
                  <c:v>25028.225200000001</c:v>
                </c:pt>
                <c:pt idx="13">
                  <c:v>25922.723389999999</c:v>
                </c:pt>
                <c:pt idx="14">
                  <c:v>26571.212189999998</c:v>
                </c:pt>
                <c:pt idx="15">
                  <c:v>27355.865030000001</c:v>
                </c:pt>
                <c:pt idx="16">
                  <c:v>28051.10643</c:v>
                </c:pt>
                <c:pt idx="17">
                  <c:v>29352.794180000001</c:v>
                </c:pt>
                <c:pt idx="18">
                  <c:v>30125.247149999999</c:v>
                </c:pt>
                <c:pt idx="19">
                  <c:v>29455.056769999999</c:v>
                </c:pt>
                <c:pt idx="20">
                  <c:v>31820.715069999998</c:v>
                </c:pt>
                <c:pt idx="21">
                  <c:v>32451.8868</c:v>
                </c:pt>
                <c:pt idx="22">
                  <c:v>33038.283029999999</c:v>
                </c:pt>
                <c:pt idx="23">
                  <c:v>33749.538939999999</c:v>
                </c:pt>
                <c:pt idx="24">
                  <c:v>33733.733769999999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rgbClr val="FFC000">
                <a:alpha val="80000"/>
              </a:srgb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'12.1'!$E$7:$E$31</c:f>
              <c:numCache>
                <c:formatCode>#,##0</c:formatCode>
                <c:ptCount val="25"/>
                <c:pt idx="0">
                  <c:v>6112.8908199999996</c:v>
                </c:pt>
                <c:pt idx="1">
                  <c:v>6394.1158500000001</c:v>
                </c:pt>
                <c:pt idx="2">
                  <c:v>6445.7879400000002</c:v>
                </c:pt>
                <c:pt idx="3">
                  <c:v>6646.3589199999997</c:v>
                </c:pt>
                <c:pt idx="4">
                  <c:v>6802.6428599999999</c:v>
                </c:pt>
                <c:pt idx="5">
                  <c:v>7073.4590399999997</c:v>
                </c:pt>
                <c:pt idx="6">
                  <c:v>7332.4707699999999</c:v>
                </c:pt>
                <c:pt idx="7">
                  <c:v>7258.8528699999997</c:v>
                </c:pt>
                <c:pt idx="8">
                  <c:v>7416.2649199999996</c:v>
                </c:pt>
                <c:pt idx="9">
                  <c:v>7676.9629999999997</c:v>
                </c:pt>
                <c:pt idx="10">
                  <c:v>7857.0884399999995</c:v>
                </c:pt>
                <c:pt idx="11">
                  <c:v>8000.5328600000003</c:v>
                </c:pt>
                <c:pt idx="12">
                  <c:v>8070.4756799999996</c:v>
                </c:pt>
                <c:pt idx="13">
                  <c:v>7993.4501899999996</c:v>
                </c:pt>
                <c:pt idx="14">
                  <c:v>8304.8783299999996</c:v>
                </c:pt>
                <c:pt idx="15">
                  <c:v>8394.9410499999994</c:v>
                </c:pt>
                <c:pt idx="16">
                  <c:v>8466.74467</c:v>
                </c:pt>
                <c:pt idx="17">
                  <c:v>8249.6009400000003</c:v>
                </c:pt>
                <c:pt idx="18">
                  <c:v>8291.2712300000003</c:v>
                </c:pt>
                <c:pt idx="19">
                  <c:v>8179.4604099999997</c:v>
                </c:pt>
                <c:pt idx="20">
                  <c:v>8361.4931699999997</c:v>
                </c:pt>
                <c:pt idx="21">
                  <c:v>7835.2821899999999</c:v>
                </c:pt>
                <c:pt idx="22">
                  <c:v>7464.4829</c:v>
                </c:pt>
                <c:pt idx="23">
                  <c:v>7518.7601100000002</c:v>
                </c:pt>
                <c:pt idx="24">
                  <c:v>7691.53539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rgbClr val="0070C0">
                <a:alpha val="80000"/>
              </a:srgb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'12.1'!$F$7:$F$31</c:f>
              <c:numCache>
                <c:formatCode>#,##0</c:formatCode>
                <c:ptCount val="25"/>
                <c:pt idx="0">
                  <c:v>2144.93253</c:v>
                </c:pt>
                <c:pt idx="1">
                  <c:v>2212.0492599999998</c:v>
                </c:pt>
                <c:pt idx="2">
                  <c:v>2211.1653799999999</c:v>
                </c:pt>
                <c:pt idx="3">
                  <c:v>2340.5258699999999</c:v>
                </c:pt>
                <c:pt idx="4">
                  <c:v>2360.8667399999999</c:v>
                </c:pt>
                <c:pt idx="5">
                  <c:v>2480.8534500000001</c:v>
                </c:pt>
                <c:pt idx="6">
                  <c:v>2514.6153399999998</c:v>
                </c:pt>
                <c:pt idx="7">
                  <c:v>2544.8766000000001</c:v>
                </c:pt>
                <c:pt idx="8">
                  <c:v>2557.2625499999999</c:v>
                </c:pt>
                <c:pt idx="9">
                  <c:v>2563.6823100000001</c:v>
                </c:pt>
                <c:pt idx="10">
                  <c:v>2620.2041100000001</c:v>
                </c:pt>
                <c:pt idx="11">
                  <c:v>2562.9845099999998</c:v>
                </c:pt>
                <c:pt idx="12">
                  <c:v>2630.1593899999998</c:v>
                </c:pt>
                <c:pt idx="13">
                  <c:v>2641.9522099999999</c:v>
                </c:pt>
                <c:pt idx="14">
                  <c:v>2812.80854</c:v>
                </c:pt>
                <c:pt idx="15">
                  <c:v>2932.66732</c:v>
                </c:pt>
                <c:pt idx="16">
                  <c:v>3043.3151399999997</c:v>
                </c:pt>
                <c:pt idx="17">
                  <c:v>3082.9850699999997</c:v>
                </c:pt>
                <c:pt idx="18">
                  <c:v>3210.42661</c:v>
                </c:pt>
                <c:pt idx="19">
                  <c:v>3265.0410899999997</c:v>
                </c:pt>
                <c:pt idx="20">
                  <c:v>3441.6310100000001</c:v>
                </c:pt>
                <c:pt idx="21">
                  <c:v>3506.85205</c:v>
                </c:pt>
                <c:pt idx="22">
                  <c:v>3670.1139899999998</c:v>
                </c:pt>
                <c:pt idx="23">
                  <c:v>3790.9613199999999</c:v>
                </c:pt>
                <c:pt idx="24">
                  <c:v>3895.4103500000001</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solar etc.</c:v>
                </c:pt>
              </c:strCache>
            </c:strRef>
          </c:tx>
          <c:spPr>
            <a:solidFill>
              <a:srgbClr val="92D050">
                <a:alpha val="80000"/>
              </a:srgb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'12.1'!$G$7:$G$31</c:f>
              <c:numCache>
                <c:formatCode>#,##0</c:formatCode>
                <c:ptCount val="25"/>
                <c:pt idx="0">
                  <c:v>424.97183000000001</c:v>
                </c:pt>
                <c:pt idx="1">
                  <c:v>433.60129000000001</c:v>
                </c:pt>
                <c:pt idx="2">
                  <c:v>452.65123</c:v>
                </c:pt>
                <c:pt idx="3">
                  <c:v>465.13022000000001</c:v>
                </c:pt>
                <c:pt idx="4">
                  <c:v>486.52942000000002</c:v>
                </c:pt>
                <c:pt idx="5">
                  <c:v>493.68187</c:v>
                </c:pt>
                <c:pt idx="6">
                  <c:v>523.64075000000003</c:v>
                </c:pt>
                <c:pt idx="7">
                  <c:v>534.17752999999993</c:v>
                </c:pt>
                <c:pt idx="8">
                  <c:v>568.36973</c:v>
                </c:pt>
                <c:pt idx="9">
                  <c:v>624.81011999999998</c:v>
                </c:pt>
                <c:pt idx="10">
                  <c:v>699.31190000000004</c:v>
                </c:pt>
                <c:pt idx="11">
                  <c:v>718.30368999999996</c:v>
                </c:pt>
                <c:pt idx="12">
                  <c:v>688.51926000000003</c:v>
                </c:pt>
                <c:pt idx="13">
                  <c:v>730.11977000000002</c:v>
                </c:pt>
                <c:pt idx="14">
                  <c:v>781.93142</c:v>
                </c:pt>
                <c:pt idx="15">
                  <c:v>816.71674999999993</c:v>
                </c:pt>
                <c:pt idx="16">
                  <c:v>873.49441000000002</c:v>
                </c:pt>
                <c:pt idx="17">
                  <c:v>956.88150999999993</c:v>
                </c:pt>
                <c:pt idx="18">
                  <c:v>1067.22695</c:v>
                </c:pt>
                <c:pt idx="19">
                  <c:v>1190.2839799999999</c:v>
                </c:pt>
                <c:pt idx="20">
                  <c:v>1303.3392099999999</c:v>
                </c:pt>
                <c:pt idx="21">
                  <c:v>1481.3131000000001</c:v>
                </c:pt>
                <c:pt idx="22">
                  <c:v>1652.4136599999999</c:v>
                </c:pt>
                <c:pt idx="23">
                  <c:v>1878.4892299999999</c:v>
                </c:pt>
                <c:pt idx="24">
                  <c:v>2105.8673599999997</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5">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'12.1'!$H$7:$H$31</c:f>
              <c:numCache>
                <c:formatCode>#,##0</c:formatCode>
                <c:ptCount val="25"/>
                <c:pt idx="0">
                  <c:v>10527.627189999999</c:v>
                </c:pt>
                <c:pt idx="1">
                  <c:v>10698.716119999999</c:v>
                </c:pt>
                <c:pt idx="2">
                  <c:v>10927.32703</c:v>
                </c:pt>
                <c:pt idx="3">
                  <c:v>10942.4344</c:v>
                </c:pt>
                <c:pt idx="4">
                  <c:v>11055.33844</c:v>
                </c:pt>
                <c:pt idx="5">
                  <c:v>11249.466399999999</c:v>
                </c:pt>
                <c:pt idx="6">
                  <c:v>11411.78631</c:v>
                </c:pt>
                <c:pt idx="7">
                  <c:v>11534.79682</c:v>
                </c:pt>
                <c:pt idx="8">
                  <c:v>11640.908939999999</c:v>
                </c:pt>
                <c:pt idx="9">
                  <c:v>11808.811249999999</c:v>
                </c:pt>
                <c:pt idx="10">
                  <c:v>11917.28426</c:v>
                </c:pt>
                <c:pt idx="11">
                  <c:v>11942.0329</c:v>
                </c:pt>
                <c:pt idx="12">
                  <c:v>12157.339089999999</c:v>
                </c:pt>
                <c:pt idx="13">
                  <c:v>12457.0093</c:v>
                </c:pt>
                <c:pt idx="14">
                  <c:v>12757.44709</c:v>
                </c:pt>
                <c:pt idx="15">
                  <c:v>13106.45176</c:v>
                </c:pt>
                <c:pt idx="16">
                  <c:v>13424.567149999999</c:v>
                </c:pt>
                <c:pt idx="17">
                  <c:v>13776.363019999999</c:v>
                </c:pt>
                <c:pt idx="18">
                  <c:v>14110.84182</c:v>
                </c:pt>
                <c:pt idx="19">
                  <c:v>14358.758529999999</c:v>
                </c:pt>
                <c:pt idx="20">
                  <c:v>14965.949199999999</c:v>
                </c:pt>
                <c:pt idx="21">
                  <c:v>15247.83714</c:v>
                </c:pt>
                <c:pt idx="22">
                  <c:v>15586.45622</c:v>
                </c:pt>
                <c:pt idx="23">
                  <c:v>16015.696259999999</c:v>
                </c:pt>
                <c:pt idx="24">
                  <c:v>16432.120039999998</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'12.1'!$I$7:$I$31</c:f>
              <c:numCache>
                <c:formatCode>#,##0</c:formatCode>
                <c:ptCount val="25"/>
                <c:pt idx="0">
                  <c:v>3.9309400000000001</c:v>
                </c:pt>
                <c:pt idx="1">
                  <c:v>0.90713999999999995</c:v>
                </c:pt>
                <c:pt idx="2">
                  <c:v>7.7106899999999996</c:v>
                </c:pt>
                <c:pt idx="3">
                  <c:v>-5.6172899999999997</c:v>
                </c:pt>
                <c:pt idx="4">
                  <c:v>3.5820400000000001</c:v>
                </c:pt>
                <c:pt idx="5">
                  <c:v>2.91913</c:v>
                </c:pt>
                <c:pt idx="6">
                  <c:v>24.376480000000001</c:v>
                </c:pt>
                <c:pt idx="7">
                  <c:v>18.875489999999999</c:v>
                </c:pt>
                <c:pt idx="8">
                  <c:v>19.456990000000001</c:v>
                </c:pt>
                <c:pt idx="9">
                  <c:v>17.386849999999999</c:v>
                </c:pt>
                <c:pt idx="10">
                  <c:v>18.631260000000001</c:v>
                </c:pt>
                <c:pt idx="11">
                  <c:v>14.932919999999999</c:v>
                </c:pt>
                <c:pt idx="12">
                  <c:v>21.154969999999999</c:v>
                </c:pt>
                <c:pt idx="13">
                  <c:v>7.5013499999999995</c:v>
                </c:pt>
                <c:pt idx="14">
                  <c:v>8.22241</c:v>
                </c:pt>
                <c:pt idx="15">
                  <c:v>8.1293699999999998</c:v>
                </c:pt>
                <c:pt idx="16">
                  <c:v>9.3854100000000003</c:v>
                </c:pt>
                <c:pt idx="17">
                  <c:v>12.82789</c:v>
                </c:pt>
                <c:pt idx="18">
                  <c:v>9.7808299999999999</c:v>
                </c:pt>
                <c:pt idx="19">
                  <c:v>13.71177</c:v>
                </c:pt>
                <c:pt idx="20">
                  <c:v>19.4221</c:v>
                </c:pt>
                <c:pt idx="21">
                  <c:v>21.166599999999999</c:v>
                </c:pt>
                <c:pt idx="22">
                  <c:v>21.620169999999998</c:v>
                </c:pt>
                <c:pt idx="23">
                  <c:v>60.406219999999998</c:v>
                </c:pt>
                <c:pt idx="24">
                  <c:v>52.090769999999999</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4774928774928771"/>
          <c:y val="0.24872042157521002"/>
          <c:w val="0.15225071225071224"/>
          <c:h val="0.333133695075680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'12.2'!$B$7:$B$31</c:f>
              <c:numCache>
                <c:formatCode>#,##0</c:formatCode>
                <c:ptCount val="25"/>
                <c:pt idx="0">
                  <c:v>21018.084899999998</c:v>
                </c:pt>
                <c:pt idx="1">
                  <c:v>20903.564289999998</c:v>
                </c:pt>
                <c:pt idx="2">
                  <c:v>20500.980209999998</c:v>
                </c:pt>
                <c:pt idx="3">
                  <c:v>20227.75662</c:v>
                </c:pt>
                <c:pt idx="4">
                  <c:v>20186.505010000001</c:v>
                </c:pt>
                <c:pt idx="5">
                  <c:v>20818.45595</c:v>
                </c:pt>
                <c:pt idx="6">
                  <c:v>20677.81436</c:v>
                </c:pt>
                <c:pt idx="7">
                  <c:v>20859.021389999998</c:v>
                </c:pt>
                <c:pt idx="8">
                  <c:v>20854.264719999999</c:v>
                </c:pt>
                <c:pt idx="9">
                  <c:v>20872.116770000001</c:v>
                </c:pt>
                <c:pt idx="10">
                  <c:v>22043.478739999999</c:v>
                </c:pt>
                <c:pt idx="11">
                  <c:v>21751.379659999999</c:v>
                </c:pt>
                <c:pt idx="12">
                  <c:v>21715.931420000001</c:v>
                </c:pt>
                <c:pt idx="13">
                  <c:v>22555.908169999999</c:v>
                </c:pt>
                <c:pt idx="14">
                  <c:v>23959.718949999999</c:v>
                </c:pt>
                <c:pt idx="15">
                  <c:v>24746.360519999998</c:v>
                </c:pt>
                <c:pt idx="16">
                  <c:v>25883.948969999998</c:v>
                </c:pt>
                <c:pt idx="17">
                  <c:v>26756.396679999998</c:v>
                </c:pt>
                <c:pt idx="18">
                  <c:v>27029.352780000001</c:v>
                </c:pt>
                <c:pt idx="19">
                  <c:v>26070.61047</c:v>
                </c:pt>
                <c:pt idx="20">
                  <c:v>28144.646519999998</c:v>
                </c:pt>
                <c:pt idx="21">
                  <c:v>30713.201799999999</c:v>
                </c:pt>
                <c:pt idx="22">
                  <c:v>30668.077399999998</c:v>
                </c:pt>
                <c:pt idx="23">
                  <c:v>31429.330679999999</c:v>
                </c:pt>
                <c:pt idx="24">
                  <c:v>31996.060579999998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chemeClr val="accent5">
                <a:lumMod val="75000"/>
              </a:schemeClr>
            </a:solidFill>
          </c:spPr>
          <c:invertIfNegative val="0"/>
          <c:cat>
            <c:numRef>
              <c:f>'12.2'!$A$7:$A$31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'12.2'!$C$7:$C$31</c:f>
              <c:numCache>
                <c:formatCode>#,##0</c:formatCode>
                <c:ptCount val="25"/>
                <c:pt idx="0">
                  <c:v>18326.74008</c:v>
                </c:pt>
                <c:pt idx="1">
                  <c:v>18505.95838</c:v>
                </c:pt>
                <c:pt idx="2">
                  <c:v>18900.552649999998</c:v>
                </c:pt>
                <c:pt idx="3">
                  <c:v>19097.28573</c:v>
                </c:pt>
                <c:pt idx="4">
                  <c:v>19475.62126</c:v>
                </c:pt>
                <c:pt idx="5">
                  <c:v>19995.2264</c:v>
                </c:pt>
                <c:pt idx="6">
                  <c:v>20780.1351</c:v>
                </c:pt>
                <c:pt idx="7">
                  <c:v>21090.6561</c:v>
                </c:pt>
                <c:pt idx="8">
                  <c:v>21583.884399999999</c:v>
                </c:pt>
                <c:pt idx="9">
                  <c:v>22190.74943</c:v>
                </c:pt>
                <c:pt idx="10">
                  <c:v>22854.938729999998</c:v>
                </c:pt>
                <c:pt idx="11">
                  <c:v>22982.973399999999</c:v>
                </c:pt>
                <c:pt idx="12">
                  <c:v>23531.455829999999</c:v>
                </c:pt>
                <c:pt idx="13">
                  <c:v>24069.610819999998</c:v>
                </c:pt>
                <c:pt idx="14">
                  <c:v>25187.649239999999</c:v>
                </c:pt>
                <c:pt idx="15">
                  <c:v>25812.587289999999</c:v>
                </c:pt>
                <c:pt idx="16">
                  <c:v>26393.99425</c:v>
                </c:pt>
                <c:pt idx="17">
                  <c:v>27299.878209999999</c:v>
                </c:pt>
                <c:pt idx="18">
                  <c:v>27424.935600000001</c:v>
                </c:pt>
                <c:pt idx="19">
                  <c:v>27024.46818</c:v>
                </c:pt>
                <c:pt idx="20">
                  <c:v>28374.280869999999</c:v>
                </c:pt>
                <c:pt idx="21">
                  <c:v>28888.629249999998</c:v>
                </c:pt>
                <c:pt idx="22">
                  <c:v>29218.93288</c:v>
                </c:pt>
                <c:pt idx="23">
                  <c:v>29813.691080000001</c:v>
                </c:pt>
                <c:pt idx="24">
                  <c:v>30552.21934</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3">
                <a:lumMod val="75000"/>
              </a:schemeClr>
            </a:solidFill>
          </c:spPr>
          <c:invertIfNegative val="0"/>
          <c:cat>
            <c:numRef>
              <c:f>'12.2'!$A$7:$A$31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'12.2'!$D$7:$D$31</c:f>
              <c:numCache>
                <c:formatCode>#,##0</c:formatCode>
                <c:ptCount val="25"/>
                <c:pt idx="0">
                  <c:v>28154.183119999998</c:v>
                </c:pt>
                <c:pt idx="1">
                  <c:v>28695.780589999998</c:v>
                </c:pt>
                <c:pt idx="2">
                  <c:v>28360.348129999998</c:v>
                </c:pt>
                <c:pt idx="3">
                  <c:v>28968.37616</c:v>
                </c:pt>
                <c:pt idx="4">
                  <c:v>28805.625939999998</c:v>
                </c:pt>
                <c:pt idx="5">
                  <c:v>29133.95247</c:v>
                </c:pt>
                <c:pt idx="6">
                  <c:v>29648.754419999997</c:v>
                </c:pt>
                <c:pt idx="7">
                  <c:v>29733.746459999998</c:v>
                </c:pt>
                <c:pt idx="8">
                  <c:v>29507.670889999998</c:v>
                </c:pt>
                <c:pt idx="9">
                  <c:v>30179.210349999998</c:v>
                </c:pt>
                <c:pt idx="10">
                  <c:v>30299.208689999999</c:v>
                </c:pt>
                <c:pt idx="11">
                  <c:v>30705.328289999998</c:v>
                </c:pt>
                <c:pt idx="12">
                  <c:v>31156.060569999998</c:v>
                </c:pt>
                <c:pt idx="13">
                  <c:v>32066.85239</c:v>
                </c:pt>
                <c:pt idx="14">
                  <c:v>32755.16231</c:v>
                </c:pt>
                <c:pt idx="15">
                  <c:v>33328.102630000001</c:v>
                </c:pt>
                <c:pt idx="16">
                  <c:v>33643.938539999996</c:v>
                </c:pt>
                <c:pt idx="17">
                  <c:v>34190.874179999999</c:v>
                </c:pt>
                <c:pt idx="18">
                  <c:v>34764.616970000003</c:v>
                </c:pt>
                <c:pt idx="19">
                  <c:v>34823.895080000002</c:v>
                </c:pt>
                <c:pt idx="20">
                  <c:v>35875.979769999998</c:v>
                </c:pt>
                <c:pt idx="21">
                  <c:v>36098.78731</c:v>
                </c:pt>
                <c:pt idx="22">
                  <c:v>36650.130720000001</c:v>
                </c:pt>
                <c:pt idx="23">
                  <c:v>37382.820719999996</c:v>
                </c:pt>
                <c:pt idx="24">
                  <c:v>37436.783920000002</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8.6249999999999993E-2"/>
          <c:y val="2.2503519497291458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North America</c:v>
                </c:pt>
              </c:strCache>
            </c:strRef>
          </c:tx>
          <c:spPr>
            <a:solidFill>
              <a:srgbClr val="00206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'12.3'!$B$7:$B$31</c:f>
              <c:numCache>
                <c:formatCode>#,##0</c:formatCode>
                <c:ptCount val="25"/>
                <c:pt idx="0">
                  <c:v>1731.0208299999999</c:v>
                </c:pt>
                <c:pt idx="1">
                  <c:v>1804.2200499999999</c:v>
                </c:pt>
                <c:pt idx="2">
                  <c:v>1891.04963</c:v>
                </c:pt>
                <c:pt idx="3">
                  <c:v>1855.20597</c:v>
                </c:pt>
                <c:pt idx="4">
                  <c:v>1861.0791199999999</c:v>
                </c:pt>
                <c:pt idx="5">
                  <c:v>1929.73101</c:v>
                </c:pt>
                <c:pt idx="6">
                  <c:v>2017.39795</c:v>
                </c:pt>
                <c:pt idx="7">
                  <c:v>1964.29537</c:v>
                </c:pt>
                <c:pt idx="8">
                  <c:v>1932.7664399999999</c:v>
                </c:pt>
                <c:pt idx="9">
                  <c:v>1960.4691</c:v>
                </c:pt>
                <c:pt idx="10">
                  <c:v>1972.75038</c:v>
                </c:pt>
                <c:pt idx="11">
                  <c:v>1762.8986600000001</c:v>
                </c:pt>
                <c:pt idx="12">
                  <c:v>1813.60546</c:v>
                </c:pt>
                <c:pt idx="13">
                  <c:v>1885.8045</c:v>
                </c:pt>
                <c:pt idx="14">
                  <c:v>1926.4978699999999</c:v>
                </c:pt>
                <c:pt idx="15">
                  <c:v>2027.81843</c:v>
                </c:pt>
                <c:pt idx="16">
                  <c:v>2066.9533799999999</c:v>
                </c:pt>
                <c:pt idx="17">
                  <c:v>2084.3285999999998</c:v>
                </c:pt>
                <c:pt idx="18">
                  <c:v>2158.62104</c:v>
                </c:pt>
                <c:pt idx="19">
                  <c:v>2160.0515299999997</c:v>
                </c:pt>
                <c:pt idx="20">
                  <c:v>2236.9490900000001</c:v>
                </c:pt>
                <c:pt idx="21">
                  <c:v>2378.4280399999998</c:v>
                </c:pt>
                <c:pt idx="22">
                  <c:v>2307.14777</c:v>
                </c:pt>
                <c:pt idx="23">
                  <c:v>2443.0675799999999</c:v>
                </c:pt>
                <c:pt idx="24">
                  <c:v>2598.5490500000001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and South America</c:v>
                </c:pt>
              </c:strCache>
            </c:strRef>
          </c:tx>
          <c:spPr>
            <a:solidFill>
              <a:schemeClr val="accent5"/>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'12.3'!$C$7:$C$31</c:f>
              <c:numCache>
                <c:formatCode>#,##0</c:formatCode>
                <c:ptCount val="25"/>
                <c:pt idx="0">
                  <c:v>1343.12544</c:v>
                </c:pt>
                <c:pt idx="1">
                  <c:v>1357.8025</c:v>
                </c:pt>
                <c:pt idx="2">
                  <c:v>1360.4192499999999</c:v>
                </c:pt>
                <c:pt idx="3">
                  <c:v>1364.0361800000001</c:v>
                </c:pt>
                <c:pt idx="4">
                  <c:v>1429.31537</c:v>
                </c:pt>
                <c:pt idx="5">
                  <c:v>1427.08241</c:v>
                </c:pt>
                <c:pt idx="6">
                  <c:v>1457.2738899999999</c:v>
                </c:pt>
                <c:pt idx="7">
                  <c:v>1483.5228</c:v>
                </c:pt>
                <c:pt idx="8">
                  <c:v>1485.9069500000001</c:v>
                </c:pt>
                <c:pt idx="9">
                  <c:v>1509.78334</c:v>
                </c:pt>
                <c:pt idx="10">
                  <c:v>1501.6539700000001</c:v>
                </c:pt>
                <c:pt idx="11">
                  <c:v>1486.3023699999999</c:v>
                </c:pt>
                <c:pt idx="12">
                  <c:v>1560.4087299999999</c:v>
                </c:pt>
                <c:pt idx="13">
                  <c:v>1641.5977599999999</c:v>
                </c:pt>
                <c:pt idx="14">
                  <c:v>1705.4580899999999</c:v>
                </c:pt>
                <c:pt idx="15">
                  <c:v>1772.3771099999999</c:v>
                </c:pt>
                <c:pt idx="16">
                  <c:v>1850.62375</c:v>
                </c:pt>
                <c:pt idx="17">
                  <c:v>1946.6294</c:v>
                </c:pt>
                <c:pt idx="18">
                  <c:v>2023.0501299999999</c:v>
                </c:pt>
                <c:pt idx="19">
                  <c:v>2034.8545799999999</c:v>
                </c:pt>
                <c:pt idx="20">
                  <c:v>2126.9990699999998</c:v>
                </c:pt>
                <c:pt idx="21">
                  <c:v>2153.13168</c:v>
                </c:pt>
                <c:pt idx="22">
                  <c:v>2196.8953699999997</c:v>
                </c:pt>
                <c:pt idx="23">
                  <c:v>2241.5778299999997</c:v>
                </c:pt>
                <c:pt idx="24">
                  <c:v>2247.8696599999998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China</c:v>
                </c:pt>
              </c:strCache>
            </c:strRef>
          </c:tx>
          <c:spPr>
            <a:solidFill>
              <a:srgbClr val="FFFF0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'12.3'!$D$7:$D$31</c:f>
              <c:numCache>
                <c:formatCode>#,##0</c:formatCode>
                <c:ptCount val="25"/>
                <c:pt idx="0">
                  <c:v>2458.4889600000001</c:v>
                </c:pt>
                <c:pt idx="1">
                  <c:v>2479.7834899999998</c:v>
                </c:pt>
                <c:pt idx="2">
                  <c:v>2500.86868</c:v>
                </c:pt>
                <c:pt idx="3">
                  <c:v>2533.1302999999998</c:v>
                </c:pt>
                <c:pt idx="4">
                  <c:v>2554.8202499999998</c:v>
                </c:pt>
                <c:pt idx="5">
                  <c:v>2587.5935899999999</c:v>
                </c:pt>
                <c:pt idx="6">
                  <c:v>2582.6275799999999</c:v>
                </c:pt>
                <c:pt idx="7">
                  <c:v>2589.5358000000001</c:v>
                </c:pt>
                <c:pt idx="8">
                  <c:v>2599.1654399999998</c:v>
                </c:pt>
                <c:pt idx="9">
                  <c:v>2596.0486000000001</c:v>
                </c:pt>
                <c:pt idx="10">
                  <c:v>2613.1446999999998</c:v>
                </c:pt>
                <c:pt idx="11">
                  <c:v>2669.4339</c:v>
                </c:pt>
                <c:pt idx="12">
                  <c:v>2681.4593199999999</c:v>
                </c:pt>
                <c:pt idx="13">
                  <c:v>2679.11006</c:v>
                </c:pt>
                <c:pt idx="14">
                  <c:v>2752.5069899999999</c:v>
                </c:pt>
                <c:pt idx="15">
                  <c:v>2824.2524600000002</c:v>
                </c:pt>
                <c:pt idx="16">
                  <c:v>2877.7853500000001</c:v>
                </c:pt>
                <c:pt idx="17">
                  <c:v>2961.4050499999998</c:v>
                </c:pt>
                <c:pt idx="18">
                  <c:v>3092.7426399999999</c:v>
                </c:pt>
                <c:pt idx="19">
                  <c:v>3198.9943199999998</c:v>
                </c:pt>
                <c:pt idx="20">
                  <c:v>3374.1770099999999</c:v>
                </c:pt>
                <c:pt idx="21">
                  <c:v>3438.2699400000001</c:v>
                </c:pt>
                <c:pt idx="22">
                  <c:v>3666.36913</c:v>
                </c:pt>
                <c:pt idx="23">
                  <c:v>3847.1342199999999</c:v>
                </c:pt>
                <c:pt idx="24">
                  <c:v>4054.9041699999998</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Russia</c:v>
                </c:pt>
              </c:strCache>
            </c:strRef>
          </c:tx>
          <c:spPr>
            <a:solidFill>
              <a:srgbClr val="00B05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'12.3'!$E$7:$E$31</c:f>
              <c:numCache>
                <c:formatCode>#,##0</c:formatCode>
                <c:ptCount val="25"/>
                <c:pt idx="0">
                  <c:v>307.88099</c:v>
                </c:pt>
                <c:pt idx="1">
                  <c:v>301.54264000000001</c:v>
                </c:pt>
                <c:pt idx="2">
                  <c:v>316.94076000000001</c:v>
                </c:pt>
                <c:pt idx="3">
                  <c:v>311.34672999999998</c:v>
                </c:pt>
                <c:pt idx="4">
                  <c:v>276.03805</c:v>
                </c:pt>
                <c:pt idx="5">
                  <c:v>275.00297999999998</c:v>
                </c:pt>
                <c:pt idx="6">
                  <c:v>234.27472</c:v>
                </c:pt>
                <c:pt idx="7">
                  <c:v>232.84422999999998</c:v>
                </c:pt>
                <c:pt idx="8">
                  <c:v>226.35469000000001</c:v>
                </c:pt>
                <c:pt idx="9">
                  <c:v>248.24234999999999</c:v>
                </c:pt>
                <c:pt idx="10">
                  <c:v>244.90454</c:v>
                </c:pt>
                <c:pt idx="11">
                  <c:v>254.53417999999999</c:v>
                </c:pt>
                <c:pt idx="12">
                  <c:v>244.13695999999999</c:v>
                </c:pt>
                <c:pt idx="13">
                  <c:v>230.59963999999999</c:v>
                </c:pt>
                <c:pt idx="14">
                  <c:v>261.80293</c:v>
                </c:pt>
                <c:pt idx="15">
                  <c:v>257.22071</c:v>
                </c:pt>
                <c:pt idx="16">
                  <c:v>265.02443999999997</c:v>
                </c:pt>
                <c:pt idx="17">
                  <c:v>259.60485999999997</c:v>
                </c:pt>
                <c:pt idx="18">
                  <c:v>241.92725999999999</c:v>
                </c:pt>
                <c:pt idx="19">
                  <c:v>252.90598</c:v>
                </c:pt>
                <c:pt idx="20">
                  <c:v>239.47333</c:v>
                </c:pt>
                <c:pt idx="21">
                  <c:v>253.53399999999999</c:v>
                </c:pt>
                <c:pt idx="22">
                  <c:v>257.13929999999999</c:v>
                </c:pt>
                <c:pt idx="23">
                  <c:v>270.53706</c:v>
                </c:pt>
                <c:pt idx="24">
                  <c:v>259.1164</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Middle East</c:v>
                </c:pt>
              </c:strCache>
            </c:strRef>
          </c:tx>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'12.3'!$F$7:$F$31</c:f>
              <c:numCache>
                <c:formatCode>#,##0</c:formatCode>
                <c:ptCount val="25"/>
                <c:pt idx="0">
                  <c:v>21.945809999999998</c:v>
                </c:pt>
                <c:pt idx="1">
                  <c:v>21.643429999999999</c:v>
                </c:pt>
                <c:pt idx="2">
                  <c:v>24.946349999999999</c:v>
                </c:pt>
                <c:pt idx="3">
                  <c:v>25.4697</c:v>
                </c:pt>
                <c:pt idx="4">
                  <c:v>23.643789999999999</c:v>
                </c:pt>
                <c:pt idx="5">
                  <c:v>23.50423</c:v>
                </c:pt>
                <c:pt idx="6">
                  <c:v>23.946169999999999</c:v>
                </c:pt>
                <c:pt idx="7">
                  <c:v>23.643789999999999</c:v>
                </c:pt>
                <c:pt idx="8">
                  <c:v>23.585639999999998</c:v>
                </c:pt>
                <c:pt idx="9">
                  <c:v>20.910740000000001</c:v>
                </c:pt>
                <c:pt idx="10">
                  <c:v>20.782809999999998</c:v>
                </c:pt>
                <c:pt idx="11">
                  <c:v>22.608719999999998</c:v>
                </c:pt>
                <c:pt idx="12">
                  <c:v>24.98124</c:v>
                </c:pt>
                <c:pt idx="13">
                  <c:v>29.342489999999998</c:v>
                </c:pt>
                <c:pt idx="14">
                  <c:v>30.76135</c:v>
                </c:pt>
                <c:pt idx="15">
                  <c:v>47.717889999999997</c:v>
                </c:pt>
                <c:pt idx="16">
                  <c:v>49.915959999999998</c:v>
                </c:pt>
                <c:pt idx="17">
                  <c:v>49.346089999999997</c:v>
                </c:pt>
                <c:pt idx="18">
                  <c:v>37.14622</c:v>
                </c:pt>
                <c:pt idx="19">
                  <c:v>38.309219999999996</c:v>
                </c:pt>
                <c:pt idx="20">
                  <c:v>44.22889</c:v>
                </c:pt>
                <c:pt idx="21">
                  <c:v>45.577970000000001</c:v>
                </c:pt>
                <c:pt idx="22">
                  <c:v>47.83419</c:v>
                </c:pt>
                <c:pt idx="23">
                  <c:v>51.206890000000001</c:v>
                </c:pt>
                <c:pt idx="24">
                  <c:v>47.392249999999997</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Asia, other</c:v>
                </c:pt>
              </c:strCache>
            </c:strRef>
          </c:tx>
          <c:spPr>
            <a:solidFill>
              <a:srgbClr val="993366"/>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'12.3'!$G$7:$G$31</c:f>
              <c:numCache>
                <c:formatCode>#,##0</c:formatCode>
                <c:ptCount val="25"/>
                <c:pt idx="0">
                  <c:v>3570.20066</c:v>
                </c:pt>
                <c:pt idx="1">
                  <c:v>3621.7331899999999</c:v>
                </c:pt>
                <c:pt idx="2">
                  <c:v>3657.89086</c:v>
                </c:pt>
                <c:pt idx="3">
                  <c:v>3680.5228400000001</c:v>
                </c:pt>
                <c:pt idx="4">
                  <c:v>3702.0383400000001</c:v>
                </c:pt>
                <c:pt idx="5">
                  <c:v>3794.7875899999999</c:v>
                </c:pt>
                <c:pt idx="6">
                  <c:v>3840.6679399999998</c:v>
                </c:pt>
                <c:pt idx="7">
                  <c:v>3900.79504</c:v>
                </c:pt>
                <c:pt idx="8">
                  <c:v>3958.2356099999997</c:v>
                </c:pt>
                <c:pt idx="9">
                  <c:v>4032.66761</c:v>
                </c:pt>
                <c:pt idx="10">
                  <c:v>4146.7230199999995</c:v>
                </c:pt>
                <c:pt idx="11">
                  <c:v>4181.6479099999997</c:v>
                </c:pt>
                <c:pt idx="12">
                  <c:v>4239.55368</c:v>
                </c:pt>
                <c:pt idx="13">
                  <c:v>4345.3750499999996</c:v>
                </c:pt>
                <c:pt idx="14">
                  <c:v>4421.8074099999994</c:v>
                </c:pt>
                <c:pt idx="15">
                  <c:v>4481.94614</c:v>
                </c:pt>
                <c:pt idx="16">
                  <c:v>4589.0235499999999</c:v>
                </c:pt>
                <c:pt idx="17">
                  <c:v>4663.6416300000001</c:v>
                </c:pt>
                <c:pt idx="18">
                  <c:v>4760.3101900000001</c:v>
                </c:pt>
                <c:pt idx="19">
                  <c:v>4852.0360000000001</c:v>
                </c:pt>
                <c:pt idx="20">
                  <c:v>4996.2363699999996</c:v>
                </c:pt>
                <c:pt idx="21">
                  <c:v>5126.5505199999998</c:v>
                </c:pt>
                <c:pt idx="22">
                  <c:v>5222.4747600000001</c:v>
                </c:pt>
                <c:pt idx="23">
                  <c:v>5361.0345799999996</c:v>
                </c:pt>
                <c:pt idx="24">
                  <c:v>5548.1380199999994</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'12.3'!$H$7:$H$31</c:f>
              <c:numCache>
                <c:formatCode>#,##0</c:formatCode>
                <c:ptCount val="25"/>
                <c:pt idx="0">
                  <c:v>873.40136999999993</c:v>
                </c:pt>
                <c:pt idx="1">
                  <c:v>904.98844999999994</c:v>
                </c:pt>
                <c:pt idx="2">
                  <c:v>934.13323000000003</c:v>
                </c:pt>
                <c:pt idx="3">
                  <c:v>986.43333999999993</c:v>
                </c:pt>
                <c:pt idx="4">
                  <c:v>1004.45984</c:v>
                </c:pt>
                <c:pt idx="5">
                  <c:v>1037.5006699999999</c:v>
                </c:pt>
                <c:pt idx="6">
                  <c:v>1082.31106</c:v>
                </c:pt>
                <c:pt idx="7">
                  <c:v>1124.1325400000001</c:v>
                </c:pt>
                <c:pt idx="8">
                  <c:v>1152.4515899999999</c:v>
                </c:pt>
                <c:pt idx="9">
                  <c:v>1154.66129</c:v>
                </c:pt>
                <c:pt idx="10">
                  <c:v>1204.2864999999999</c:v>
                </c:pt>
                <c:pt idx="11">
                  <c:v>1251.44615</c:v>
                </c:pt>
                <c:pt idx="12">
                  <c:v>1223.0456899999999</c:v>
                </c:pt>
                <c:pt idx="13">
                  <c:v>1290.9765199999999</c:v>
                </c:pt>
                <c:pt idx="14">
                  <c:v>1382.5046199999999</c:v>
                </c:pt>
                <c:pt idx="15">
                  <c:v>1459.49522</c:v>
                </c:pt>
                <c:pt idx="16">
                  <c:v>1551.34896</c:v>
                </c:pt>
                <c:pt idx="17">
                  <c:v>1645.5054399999999</c:v>
                </c:pt>
                <c:pt idx="18">
                  <c:v>1756.83943</c:v>
                </c:pt>
                <c:pt idx="19">
                  <c:v>1873.0929099999998</c:v>
                </c:pt>
                <c:pt idx="20">
                  <c:v>2092.94643</c:v>
                </c:pt>
                <c:pt idx="21">
                  <c:v>2099.76161</c:v>
                </c:pt>
                <c:pt idx="22">
                  <c:v>2310.81122</c:v>
                </c:pt>
                <c:pt idx="23">
                  <c:v>2428.4021499999999</c:v>
                </c:pt>
                <c:pt idx="24">
                  <c:v>2488.3315400000001</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Africa</c:v>
                </c:pt>
              </c:strCache>
            </c:strRef>
          </c:tx>
          <c:spPr>
            <a:solidFill>
              <a:srgbClr val="92D05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'12.3'!$I$7:$I$31</c:f>
              <c:numCache>
                <c:formatCode>#,##0</c:formatCode>
                <c:ptCount val="25"/>
                <c:pt idx="0">
                  <c:v>2314.84683</c:v>
                </c:pt>
                <c:pt idx="1">
                  <c:v>2378.50945</c:v>
                </c:pt>
                <c:pt idx="2">
                  <c:v>2435.3336300000001</c:v>
                </c:pt>
                <c:pt idx="3">
                  <c:v>2492.9835399999997</c:v>
                </c:pt>
                <c:pt idx="4">
                  <c:v>2555.3552300000001</c:v>
                </c:pt>
                <c:pt idx="5">
                  <c:v>2637.3583599999997</c:v>
                </c:pt>
                <c:pt idx="6">
                  <c:v>2706.44056</c:v>
                </c:pt>
                <c:pt idx="7">
                  <c:v>2778.79079</c:v>
                </c:pt>
                <c:pt idx="8">
                  <c:v>2852.15283</c:v>
                </c:pt>
                <c:pt idx="9">
                  <c:v>2925.2473799999998</c:v>
                </c:pt>
                <c:pt idx="10">
                  <c:v>2965.5337</c:v>
                </c:pt>
                <c:pt idx="11">
                  <c:v>3057.8061199999997</c:v>
                </c:pt>
                <c:pt idx="12">
                  <c:v>3135.0409500000001</c:v>
                </c:pt>
                <c:pt idx="13">
                  <c:v>3210.7289900000001</c:v>
                </c:pt>
                <c:pt idx="14">
                  <c:v>3323.0515299999997</c:v>
                </c:pt>
                <c:pt idx="15">
                  <c:v>3413.2189199999998</c:v>
                </c:pt>
                <c:pt idx="16">
                  <c:v>3511.99251</c:v>
                </c:pt>
                <c:pt idx="17">
                  <c:v>3606.2536599999999</c:v>
                </c:pt>
                <c:pt idx="18">
                  <c:v>3694.8161099999998</c:v>
                </c:pt>
                <c:pt idx="19">
                  <c:v>3788.75162</c:v>
                </c:pt>
                <c:pt idx="20">
                  <c:v>3929.7653700000001</c:v>
                </c:pt>
                <c:pt idx="21">
                  <c:v>4090.5268599999999</c:v>
                </c:pt>
                <c:pt idx="22">
                  <c:v>4199.3836599999995</c:v>
                </c:pt>
                <c:pt idx="23">
                  <c:v>4303.8094300000002</c:v>
                </c:pt>
                <c:pt idx="24">
                  <c:v>4450.8707800000002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Other</c:v>
                </c:pt>
              </c:strCache>
            </c:strRef>
          </c:tx>
          <c:spPr>
            <a:solidFill>
              <a:schemeClr val="accent4"/>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'12.3'!$J$7:$J$31</c:f>
              <c:numCache>
                <c:formatCode>#,##0</c:formatCode>
                <c:ptCount val="25"/>
                <c:pt idx="0">
                  <c:v>476.62065999999999</c:v>
                </c:pt>
                <c:pt idx="1">
                  <c:v>474.14346999999998</c:v>
                </c:pt>
                <c:pt idx="2">
                  <c:v>469.56124999999997</c:v>
                </c:pt>
                <c:pt idx="3">
                  <c:v>498.96188999999998</c:v>
                </c:pt>
                <c:pt idx="4">
                  <c:v>495.98460999999998</c:v>
                </c:pt>
                <c:pt idx="5">
                  <c:v>511.44087999999999</c:v>
                </c:pt>
                <c:pt idx="6">
                  <c:v>505.10253</c:v>
                </c:pt>
                <c:pt idx="7">
                  <c:v>516.29058999999995</c:v>
                </c:pt>
                <c:pt idx="8">
                  <c:v>535.92202999999995</c:v>
                </c:pt>
                <c:pt idx="9">
                  <c:v>549.27327000000002</c:v>
                </c:pt>
                <c:pt idx="10">
                  <c:v>567.02064999999993</c:v>
                </c:pt>
                <c:pt idx="11">
                  <c:v>536.64309000000003</c:v>
                </c:pt>
                <c:pt idx="12">
                  <c:v>553.78570999999999</c:v>
                </c:pt>
                <c:pt idx="13">
                  <c:v>515.54626999999994</c:v>
                </c:pt>
                <c:pt idx="14">
                  <c:v>547.79625999999996</c:v>
                </c:pt>
                <c:pt idx="15">
                  <c:v>571.78895</c:v>
                </c:pt>
                <c:pt idx="16">
                  <c:v>578.7088</c:v>
                </c:pt>
                <c:pt idx="17">
                  <c:v>599.51486999999997</c:v>
                </c:pt>
                <c:pt idx="18">
                  <c:v>623.04236000000003</c:v>
                </c:pt>
                <c:pt idx="19">
                  <c:v>615.08744000000002</c:v>
                </c:pt>
                <c:pt idx="20">
                  <c:v>670.14386000000002</c:v>
                </c:pt>
                <c:pt idx="21">
                  <c:v>650.22167000000002</c:v>
                </c:pt>
                <c:pt idx="22">
                  <c:v>700.92846999999995</c:v>
                </c:pt>
                <c:pt idx="23">
                  <c:v>738.37707</c:v>
                </c:pt>
                <c:pt idx="24">
                  <c:v>738.22587999999996</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66097222222222218"/>
          <c:y val="0.20622349302464726"/>
          <c:w val="0.322361111111111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tx1">
                <a:lumMod val="75000"/>
                <a:lumOff val="25000"/>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'12.4'!$B$7:$B$31</c:f>
              <c:numCache>
                <c:formatCode>#,##0</c:formatCode>
                <c:ptCount val="25"/>
                <c:pt idx="0">
                  <c:v>4423.5159999999996</c:v>
                </c:pt>
                <c:pt idx="1">
                  <c:v>4530.799</c:v>
                </c:pt>
                <c:pt idx="2">
                  <c:v>4612.88</c:v>
                </c:pt>
                <c:pt idx="3">
                  <c:v>4712.0209999999997</c:v>
                </c:pt>
                <c:pt idx="4">
                  <c:v>4848.6670000000004</c:v>
                </c:pt>
                <c:pt idx="5">
                  <c:v>4990.0609999999997</c:v>
                </c:pt>
                <c:pt idx="6">
                  <c:v>5233.6610000000001</c:v>
                </c:pt>
                <c:pt idx="7">
                  <c:v>5351.848</c:v>
                </c:pt>
                <c:pt idx="8">
                  <c:v>5458.64</c:v>
                </c:pt>
                <c:pt idx="9">
                  <c:v>5586.7950000000001</c:v>
                </c:pt>
                <c:pt idx="10">
                  <c:v>6001.5929999999998</c:v>
                </c:pt>
                <c:pt idx="11">
                  <c:v>6019.6109999999999</c:v>
                </c:pt>
                <c:pt idx="12">
                  <c:v>6304.5280000000002</c:v>
                </c:pt>
                <c:pt idx="13">
                  <c:v>6714.8159999999998</c:v>
                </c:pt>
                <c:pt idx="14">
                  <c:v>6938.9040000000005</c:v>
                </c:pt>
                <c:pt idx="15">
                  <c:v>7319.4089999999997</c:v>
                </c:pt>
                <c:pt idx="16">
                  <c:v>7736.4309999999996</c:v>
                </c:pt>
                <c:pt idx="17">
                  <c:v>8202.1530000000002</c:v>
                </c:pt>
                <c:pt idx="18">
                  <c:v>8263.7279999999992</c:v>
                </c:pt>
                <c:pt idx="19">
                  <c:v>8119.5709999999999</c:v>
                </c:pt>
                <c:pt idx="20">
                  <c:v>8666.0910000000003</c:v>
                </c:pt>
                <c:pt idx="21">
                  <c:v>9147.2980000000007</c:v>
                </c:pt>
                <c:pt idx="22">
                  <c:v>9176.76</c:v>
                </c:pt>
                <c:pt idx="23">
                  <c:v>9632.9549999999999</c:v>
                </c:pt>
                <c:pt idx="24">
                  <c:v>9707.4889999999996</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6">
                <a:lumMod val="75000"/>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'12.4'!$C$7:$C$31</c:f>
              <c:numCache>
                <c:formatCode>#,##0</c:formatCode>
                <c:ptCount val="25"/>
                <c:pt idx="0">
                  <c:v>1311.241</c:v>
                </c:pt>
                <c:pt idx="1">
                  <c:v>1313.7529999999999</c:v>
                </c:pt>
                <c:pt idx="2">
                  <c:v>1294.117</c:v>
                </c:pt>
                <c:pt idx="3">
                  <c:v>1237.347</c:v>
                </c:pt>
                <c:pt idx="4">
                  <c:v>1250.6559999999999</c:v>
                </c:pt>
                <c:pt idx="5">
                  <c:v>1231.4960000000001</c:v>
                </c:pt>
                <c:pt idx="6">
                  <c:v>1220.2280000000001</c:v>
                </c:pt>
                <c:pt idx="7">
                  <c:v>1221.0319999999999</c:v>
                </c:pt>
                <c:pt idx="8">
                  <c:v>1262.7149999999999</c:v>
                </c:pt>
                <c:pt idx="9">
                  <c:v>1231.1300000000001</c:v>
                </c:pt>
                <c:pt idx="10">
                  <c:v>1204.502</c:v>
                </c:pt>
                <c:pt idx="11">
                  <c:v>1150.8699999999999</c:v>
                </c:pt>
                <c:pt idx="12">
                  <c:v>1149.921</c:v>
                </c:pt>
                <c:pt idx="13">
                  <c:v>1148.03</c:v>
                </c:pt>
                <c:pt idx="14">
                  <c:v>1155.473</c:v>
                </c:pt>
                <c:pt idx="15">
                  <c:v>1145.826</c:v>
                </c:pt>
                <c:pt idx="16">
                  <c:v>1068.883</c:v>
                </c:pt>
                <c:pt idx="17">
                  <c:v>1093.2940000000001</c:v>
                </c:pt>
                <c:pt idx="18">
                  <c:v>1046.1510000000001</c:v>
                </c:pt>
                <c:pt idx="19">
                  <c:v>983.505</c:v>
                </c:pt>
                <c:pt idx="20">
                  <c:v>958.58</c:v>
                </c:pt>
                <c:pt idx="21">
                  <c:v>1055.742</c:v>
                </c:pt>
                <c:pt idx="22">
                  <c:v>1124.5039999999999</c:v>
                </c:pt>
                <c:pt idx="23">
                  <c:v>1027.6020000000001</c:v>
                </c:pt>
                <c:pt idx="24">
                  <c:v>1023.005</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2">
                <a:lumMod val="60000"/>
                <a:lumOff val="40000"/>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'12.4'!$D$7:$D$31</c:f>
              <c:numCache>
                <c:formatCode>#,##0</c:formatCode>
                <c:ptCount val="25"/>
                <c:pt idx="0">
                  <c:v>1760.393</c:v>
                </c:pt>
                <c:pt idx="1">
                  <c:v>1787.0509999999999</c:v>
                </c:pt>
                <c:pt idx="2">
                  <c:v>1801.028</c:v>
                </c:pt>
                <c:pt idx="3">
                  <c:v>1854.789</c:v>
                </c:pt>
                <c:pt idx="4">
                  <c:v>1927.58</c:v>
                </c:pt>
                <c:pt idx="5">
                  <c:v>2027.0419999999999</c:v>
                </c:pt>
                <c:pt idx="6">
                  <c:v>2096.5239999999999</c:v>
                </c:pt>
                <c:pt idx="7">
                  <c:v>2250.2150000000001</c:v>
                </c:pt>
                <c:pt idx="8">
                  <c:v>2384.0140000000001</c:v>
                </c:pt>
                <c:pt idx="9">
                  <c:v>2584.8139999999999</c:v>
                </c:pt>
                <c:pt idx="10">
                  <c:v>2752.3829999999998</c:v>
                </c:pt>
                <c:pt idx="11">
                  <c:v>2905.2020000000002</c:v>
                </c:pt>
                <c:pt idx="12">
                  <c:v>3108.25</c:v>
                </c:pt>
                <c:pt idx="13">
                  <c:v>3266.3359999999998</c:v>
                </c:pt>
                <c:pt idx="14">
                  <c:v>3509.3249999999998</c:v>
                </c:pt>
                <c:pt idx="15">
                  <c:v>3700.4029999999998</c:v>
                </c:pt>
                <c:pt idx="16">
                  <c:v>3891.0479999999998</c:v>
                </c:pt>
                <c:pt idx="17">
                  <c:v>4208.3419999999996</c:v>
                </c:pt>
                <c:pt idx="18">
                  <c:v>4365.0950000000003</c:v>
                </c:pt>
                <c:pt idx="19">
                  <c:v>4409.8360000000002</c:v>
                </c:pt>
                <c:pt idx="20">
                  <c:v>4807.0029999999997</c:v>
                </c:pt>
                <c:pt idx="21">
                  <c:v>4880.1670000000004</c:v>
                </c:pt>
                <c:pt idx="22">
                  <c:v>5087.0600000000004</c:v>
                </c:pt>
                <c:pt idx="23">
                  <c:v>5066.2150000000001</c:v>
                </c:pt>
                <c:pt idx="24">
                  <c:v>5154.8270000000002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rgbClr val="FFC000">
                <a:alpha val="80000"/>
              </a:srgb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'12.4'!$E$7:$E$31</c:f>
              <c:numCache>
                <c:formatCode>#,##0</c:formatCode>
                <c:ptCount val="25"/>
                <c:pt idx="0">
                  <c:v>2012.902</c:v>
                </c:pt>
                <c:pt idx="1">
                  <c:v>2105.7869999999998</c:v>
                </c:pt>
                <c:pt idx="2">
                  <c:v>2123.6880000000001</c:v>
                </c:pt>
                <c:pt idx="3">
                  <c:v>2190.502</c:v>
                </c:pt>
                <c:pt idx="4">
                  <c:v>2242.2979999999998</c:v>
                </c:pt>
                <c:pt idx="5">
                  <c:v>2331.951</c:v>
                </c:pt>
                <c:pt idx="6">
                  <c:v>2417.1930000000002</c:v>
                </c:pt>
                <c:pt idx="7">
                  <c:v>2393.1010000000001</c:v>
                </c:pt>
                <c:pt idx="8">
                  <c:v>2445.21</c:v>
                </c:pt>
                <c:pt idx="9">
                  <c:v>2531.1480000000001</c:v>
                </c:pt>
                <c:pt idx="10">
                  <c:v>2590.623</c:v>
                </c:pt>
                <c:pt idx="11">
                  <c:v>2637.6849999999999</c:v>
                </c:pt>
                <c:pt idx="12">
                  <c:v>2667.7779999999998</c:v>
                </c:pt>
                <c:pt idx="13">
                  <c:v>2635.3490000000002</c:v>
                </c:pt>
                <c:pt idx="14">
                  <c:v>2738.0120000000002</c:v>
                </c:pt>
                <c:pt idx="15">
                  <c:v>2767.9520000000002</c:v>
                </c:pt>
                <c:pt idx="16">
                  <c:v>2791.471</c:v>
                </c:pt>
                <c:pt idx="17">
                  <c:v>2719.2289999999998</c:v>
                </c:pt>
                <c:pt idx="18">
                  <c:v>2733.085</c:v>
                </c:pt>
                <c:pt idx="19">
                  <c:v>2696.1610000000001</c:v>
                </c:pt>
                <c:pt idx="20">
                  <c:v>2756.288</c:v>
                </c:pt>
                <c:pt idx="21">
                  <c:v>2582.6350000000002</c:v>
                </c:pt>
                <c:pt idx="22">
                  <c:v>2460.2849999999999</c:v>
                </c:pt>
                <c:pt idx="23">
                  <c:v>2478.2159999999999</c:v>
                </c:pt>
                <c:pt idx="24">
                  <c:v>2535.326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rgbClr val="0070C0">
                <a:alpha val="80000"/>
              </a:srgb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'12.4'!$F$7:$F$31</c:f>
              <c:numCache>
                <c:formatCode>#,##0</c:formatCode>
                <c:ptCount val="25"/>
                <c:pt idx="0">
                  <c:v>2191.732</c:v>
                </c:pt>
                <c:pt idx="1">
                  <c:v>2268.357</c:v>
                </c:pt>
                <c:pt idx="2">
                  <c:v>2267.5210000000002</c:v>
                </c:pt>
                <c:pt idx="3">
                  <c:v>2397.6770000000001</c:v>
                </c:pt>
                <c:pt idx="4">
                  <c:v>2419.348</c:v>
                </c:pt>
                <c:pt idx="5">
                  <c:v>2545.8620000000001</c:v>
                </c:pt>
                <c:pt idx="6">
                  <c:v>2584.9119999999998</c:v>
                </c:pt>
                <c:pt idx="7">
                  <c:v>2615.7260000000001</c:v>
                </c:pt>
                <c:pt idx="8">
                  <c:v>2629.81</c:v>
                </c:pt>
                <c:pt idx="9">
                  <c:v>2635.4859999999999</c:v>
                </c:pt>
                <c:pt idx="10">
                  <c:v>2698.6860000000001</c:v>
                </c:pt>
                <c:pt idx="11">
                  <c:v>2640.3580000000002</c:v>
                </c:pt>
                <c:pt idx="12">
                  <c:v>2701.2739999999999</c:v>
                </c:pt>
                <c:pt idx="13">
                  <c:v>2724.8560000000002</c:v>
                </c:pt>
                <c:pt idx="14">
                  <c:v>2895.2939999999999</c:v>
                </c:pt>
                <c:pt idx="15">
                  <c:v>3016.6219999999998</c:v>
                </c:pt>
                <c:pt idx="16">
                  <c:v>3127.5189999999998</c:v>
                </c:pt>
                <c:pt idx="17">
                  <c:v>3165.95</c:v>
                </c:pt>
                <c:pt idx="18">
                  <c:v>3289.114</c:v>
                </c:pt>
                <c:pt idx="19">
                  <c:v>3340.0059999999999</c:v>
                </c:pt>
                <c:pt idx="20">
                  <c:v>3529.529</c:v>
                </c:pt>
                <c:pt idx="21">
                  <c:v>3591.8589999999999</c:v>
                </c:pt>
                <c:pt idx="22">
                  <c:v>3753.1660000000002</c:v>
                </c:pt>
                <c:pt idx="23">
                  <c:v>3874.4169999999999</c:v>
                </c:pt>
                <c:pt idx="24">
                  <c:v>3982.509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5">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'12.4'!$G$7:$G$31</c:f>
              <c:numCache>
                <c:formatCode>#,##0</c:formatCode>
                <c:ptCount val="25"/>
                <c:pt idx="0">
                  <c:v>105.75</c:v>
                </c:pt>
                <c:pt idx="1">
                  <c:v>72.415000000000006</c:v>
                </c:pt>
                <c:pt idx="2">
                  <c:v>83.254000000000005</c:v>
                </c:pt>
                <c:pt idx="3">
                  <c:v>85.994</c:v>
                </c:pt>
                <c:pt idx="4">
                  <c:v>90.311000000000007</c:v>
                </c:pt>
                <c:pt idx="5">
                  <c:v>95.671999999999997</c:v>
                </c:pt>
                <c:pt idx="6">
                  <c:v>95.338999999999999</c:v>
                </c:pt>
                <c:pt idx="7">
                  <c:v>101.997</c:v>
                </c:pt>
                <c:pt idx="8">
                  <c:v>103.01900000000001</c:v>
                </c:pt>
                <c:pt idx="9">
                  <c:v>109.09399999999999</c:v>
                </c:pt>
                <c:pt idx="10">
                  <c:v>115.393</c:v>
                </c:pt>
                <c:pt idx="11">
                  <c:v>114.86199999999999</c:v>
                </c:pt>
                <c:pt idx="12">
                  <c:v>127.877</c:v>
                </c:pt>
                <c:pt idx="13">
                  <c:v>137.696</c:v>
                </c:pt>
                <c:pt idx="14">
                  <c:v>150.928</c:v>
                </c:pt>
                <c:pt idx="15">
                  <c:v>172.26400000000001</c:v>
                </c:pt>
                <c:pt idx="16">
                  <c:v>184.572</c:v>
                </c:pt>
                <c:pt idx="17">
                  <c:v>202.57300000000001</c:v>
                </c:pt>
                <c:pt idx="18">
                  <c:v>221.839</c:v>
                </c:pt>
                <c:pt idx="19">
                  <c:v>243.715</c:v>
                </c:pt>
                <c:pt idx="20">
                  <c:v>294.74700000000001</c:v>
                </c:pt>
                <c:pt idx="21">
                  <c:v>316.505</c:v>
                </c:pt>
                <c:pt idx="22">
                  <c:v>340.60899999999998</c:v>
                </c:pt>
                <c:pt idx="23">
                  <c:v>368.86900000000003</c:v>
                </c:pt>
                <c:pt idx="24">
                  <c:v>399.30799999999999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'12.4'!$H$7:$H$31</c:f>
              <c:numCache>
                <c:formatCode>#,##0</c:formatCode>
                <c:ptCount val="25"/>
                <c:pt idx="0">
                  <c:v>25.948</c:v>
                </c:pt>
                <c:pt idx="1">
                  <c:v>32.006</c:v>
                </c:pt>
                <c:pt idx="2">
                  <c:v>36.671999999999997</c:v>
                </c:pt>
                <c:pt idx="3">
                  <c:v>31.67</c:v>
                </c:pt>
                <c:pt idx="4">
                  <c:v>34.851999999999997</c:v>
                </c:pt>
                <c:pt idx="5">
                  <c:v>37.572000000000003</c:v>
                </c:pt>
                <c:pt idx="6">
                  <c:v>41.408000000000001</c:v>
                </c:pt>
                <c:pt idx="7">
                  <c:v>43.661999999999999</c:v>
                </c:pt>
                <c:pt idx="8">
                  <c:v>47.247999999999998</c:v>
                </c:pt>
                <c:pt idx="9">
                  <c:v>49.584000000000003</c:v>
                </c:pt>
                <c:pt idx="10">
                  <c:v>54.304000000000002</c:v>
                </c:pt>
                <c:pt idx="11">
                  <c:v>60.177999999999997</c:v>
                </c:pt>
                <c:pt idx="12">
                  <c:v>62.133000000000003</c:v>
                </c:pt>
                <c:pt idx="13">
                  <c:v>58.564</c:v>
                </c:pt>
                <c:pt idx="14">
                  <c:v>61.273000000000003</c:v>
                </c:pt>
                <c:pt idx="15">
                  <c:v>64.731999999999999</c:v>
                </c:pt>
                <c:pt idx="16">
                  <c:v>67.872</c:v>
                </c:pt>
                <c:pt idx="17">
                  <c:v>69.067999999999998</c:v>
                </c:pt>
                <c:pt idx="18">
                  <c:v>71.212999999999994</c:v>
                </c:pt>
                <c:pt idx="19">
                  <c:v>72.632999999999996</c:v>
                </c:pt>
                <c:pt idx="20">
                  <c:v>85.745999999999995</c:v>
                </c:pt>
                <c:pt idx="21">
                  <c:v>92.212999999999994</c:v>
                </c:pt>
                <c:pt idx="22">
                  <c:v>94.116</c:v>
                </c:pt>
                <c:pt idx="23">
                  <c:v>92.908000000000001</c:v>
                </c:pt>
                <c:pt idx="24">
                  <c:v>93.54</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Windpower</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'12.4'!$I$7:$I$31</c:f>
              <c:numCache>
                <c:formatCode>#,##0</c:formatCode>
                <c:ptCount val="25"/>
                <c:pt idx="0">
                  <c:v>3.88</c:v>
                </c:pt>
                <c:pt idx="1">
                  <c:v>4.1970000000000001</c:v>
                </c:pt>
                <c:pt idx="2">
                  <c:v>4.6379999999999999</c:v>
                </c:pt>
                <c:pt idx="3">
                  <c:v>5.6020000000000003</c:v>
                </c:pt>
                <c:pt idx="4">
                  <c:v>7.3019999999999996</c:v>
                </c:pt>
                <c:pt idx="5">
                  <c:v>7.9480000000000004</c:v>
                </c:pt>
                <c:pt idx="6">
                  <c:v>9.4459999999999997</c:v>
                </c:pt>
                <c:pt idx="7">
                  <c:v>12.077999999999999</c:v>
                </c:pt>
                <c:pt idx="8">
                  <c:v>16.071000000000002</c:v>
                </c:pt>
                <c:pt idx="9">
                  <c:v>21.573</c:v>
                </c:pt>
                <c:pt idx="10">
                  <c:v>31.370999999999999</c:v>
                </c:pt>
                <c:pt idx="11">
                  <c:v>38.384</c:v>
                </c:pt>
                <c:pt idx="12">
                  <c:v>52.780999999999999</c:v>
                </c:pt>
                <c:pt idx="13">
                  <c:v>64.167000000000002</c:v>
                </c:pt>
                <c:pt idx="14">
                  <c:v>84.358999999999995</c:v>
                </c:pt>
                <c:pt idx="15">
                  <c:v>103.85599999999999</c:v>
                </c:pt>
                <c:pt idx="16">
                  <c:v>133.03100000000001</c:v>
                </c:pt>
                <c:pt idx="17">
                  <c:v>170.768</c:v>
                </c:pt>
                <c:pt idx="18">
                  <c:v>220.99799999999999</c:v>
                </c:pt>
                <c:pt idx="19">
                  <c:v>277.38400000000001</c:v>
                </c:pt>
                <c:pt idx="20">
                  <c:v>341.274</c:v>
                </c:pt>
                <c:pt idx="21">
                  <c:v>435.31099999999998</c:v>
                </c:pt>
                <c:pt idx="22">
                  <c:v>522.72500000000002</c:v>
                </c:pt>
                <c:pt idx="23">
                  <c:v>636.78099999999995</c:v>
                </c:pt>
                <c:pt idx="24">
                  <c:v>717.29300000000001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'12.4'!$J$7:$J$31</c:f>
              <c:numCache>
                <c:formatCode>#,##0</c:formatCode>
                <c:ptCount val="25"/>
                <c:pt idx="0">
                  <c:v>2.1000000000000001E-2</c:v>
                </c:pt>
                <c:pt idx="1">
                  <c:v>2.5999999999999999E-2</c:v>
                </c:pt>
                <c:pt idx="2">
                  <c:v>0.06</c:v>
                </c:pt>
                <c:pt idx="3">
                  <c:v>8.5000000000000006E-2</c:v>
                </c:pt>
                <c:pt idx="4">
                  <c:v>0.104</c:v>
                </c:pt>
                <c:pt idx="5">
                  <c:v>0.13100000000000001</c:v>
                </c:pt>
                <c:pt idx="6">
                  <c:v>0.16200000000000001</c:v>
                </c:pt>
                <c:pt idx="7">
                  <c:v>0.217</c:v>
                </c:pt>
                <c:pt idx="8">
                  <c:v>0.34399999999999997</c:v>
                </c:pt>
                <c:pt idx="9">
                  <c:v>0.61899999999999999</c:v>
                </c:pt>
                <c:pt idx="10">
                  <c:v>1.0309999999999999</c:v>
                </c:pt>
                <c:pt idx="11">
                  <c:v>1.2969999999999999</c:v>
                </c:pt>
                <c:pt idx="12">
                  <c:v>1.661</c:v>
                </c:pt>
                <c:pt idx="13">
                  <c:v>2.125</c:v>
                </c:pt>
                <c:pt idx="14">
                  <c:v>2.8109999999999999</c:v>
                </c:pt>
                <c:pt idx="15">
                  <c:v>4.0359999999999996</c:v>
                </c:pt>
                <c:pt idx="16">
                  <c:v>5.6379999999999999</c:v>
                </c:pt>
                <c:pt idx="17">
                  <c:v>7.5430000000000001</c:v>
                </c:pt>
                <c:pt idx="18">
                  <c:v>11.972</c:v>
                </c:pt>
                <c:pt idx="19">
                  <c:v>20.053000000000001</c:v>
                </c:pt>
                <c:pt idx="20">
                  <c:v>32.345999999999997</c:v>
                </c:pt>
                <c:pt idx="21">
                  <c:v>63.167000000000002</c:v>
                </c:pt>
                <c:pt idx="22">
                  <c:v>98.676000000000002</c:v>
                </c:pt>
                <c:pt idx="23">
                  <c:v>139.053</c:v>
                </c:pt>
                <c:pt idx="24">
                  <c:v>189.68899999999999</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'12.4'!$K$7:$K$31</c:f>
              <c:numCache>
                <c:formatCode>#,##0</c:formatCode>
                <c:ptCount val="25"/>
                <c:pt idx="0">
                  <c:v>37.865000000000002</c:v>
                </c:pt>
                <c:pt idx="1">
                  <c:v>38.923000000000002</c:v>
                </c:pt>
                <c:pt idx="2">
                  <c:v>41.100999999999999</c:v>
                </c:pt>
                <c:pt idx="3">
                  <c:v>42.301000000000002</c:v>
                </c:pt>
                <c:pt idx="4">
                  <c:v>42.927999999999997</c:v>
                </c:pt>
                <c:pt idx="5">
                  <c:v>42.165999999999997</c:v>
                </c:pt>
                <c:pt idx="6">
                  <c:v>44.46</c:v>
                </c:pt>
                <c:pt idx="7">
                  <c:v>44.970999999999997</c:v>
                </c:pt>
                <c:pt idx="8">
                  <c:v>48.008000000000003</c:v>
                </c:pt>
                <c:pt idx="9">
                  <c:v>51.243000000000002</c:v>
                </c:pt>
                <c:pt idx="10">
                  <c:v>55.064999999999998</c:v>
                </c:pt>
                <c:pt idx="11">
                  <c:v>54.777999999999999</c:v>
                </c:pt>
                <c:pt idx="12">
                  <c:v>55.981999999999999</c:v>
                </c:pt>
                <c:pt idx="13">
                  <c:v>60.781999999999996</c:v>
                </c:pt>
                <c:pt idx="14">
                  <c:v>65.897000000000006</c:v>
                </c:pt>
                <c:pt idx="15">
                  <c:v>71.614000000000004</c:v>
                </c:pt>
                <c:pt idx="16">
                  <c:v>68.902000000000001</c:v>
                </c:pt>
                <c:pt idx="17">
                  <c:v>70.87</c:v>
                </c:pt>
                <c:pt idx="18">
                  <c:v>72.709999999999994</c:v>
                </c:pt>
                <c:pt idx="19">
                  <c:v>74.302000000000007</c:v>
                </c:pt>
                <c:pt idx="20">
                  <c:v>77.231999999999999</c:v>
                </c:pt>
                <c:pt idx="21">
                  <c:v>79.393000000000001</c:v>
                </c:pt>
                <c:pt idx="22">
                  <c:v>82.367000000000004</c:v>
                </c:pt>
                <c:pt idx="23">
                  <c:v>88.671000000000006</c:v>
                </c:pt>
                <c:pt idx="24">
                  <c:v>100.614</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crossAx val="133870336"/>
        <c:crosses val="autoZero"/>
        <c:auto val="1"/>
        <c:lblAlgn val="ctr"/>
        <c:lblOffset val="100"/>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'2.2'!$A$3:$E$3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'2.2'!$B$6</c:f>
              <c:strCache>
                <c:ptCount val="1"/>
                <c:pt idx="0">
                  <c:v>Industry</c:v>
                </c:pt>
              </c:strCache>
            </c:strRef>
          </c:tx>
          <c:spPr>
            <a:solidFill>
              <a:srgbClr val="002060">
                <a:alpha val="81000"/>
              </a:srgbClr>
            </a:solidFill>
          </c:spPr>
          <c:cat>
            <c:numRef>
              <c:f>'2.2'!$A$7:$A$52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'2.2'!$B$7:$B$52</c:f>
              <c:numCache>
                <c:formatCode>#,##0</c:formatCode>
                <c:ptCount val="46"/>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132.38076111111113</c:v>
                </c:pt>
                <c:pt idx="23">
                  <c:v>135.32316</c:v>
                </c:pt>
                <c:pt idx="24">
                  <c:v>139.83133555555557</c:v>
                </c:pt>
                <c:pt idx="25">
                  <c:v>146.00363666666667</c:v>
                </c:pt>
                <c:pt idx="26">
                  <c:v>147.94362444444442</c:v>
                </c:pt>
                <c:pt idx="27">
                  <c:v>152.71467777777778</c:v>
                </c:pt>
                <c:pt idx="28">
                  <c:v>152.08244444444443</c:v>
                </c:pt>
                <c:pt idx="29">
                  <c:v>152.98053222222222</c:v>
                </c:pt>
                <c:pt idx="30">
                  <c:v>153.16440444444447</c:v>
                </c:pt>
                <c:pt idx="31">
                  <c:v>152.00977777777777</c:v>
                </c:pt>
                <c:pt idx="32">
                  <c:v>153.91532888888887</c:v>
                </c:pt>
                <c:pt idx="33">
                  <c:v>156.86078737843334</c:v>
                </c:pt>
                <c:pt idx="34">
                  <c:v>156.75638888888886</c:v>
                </c:pt>
                <c:pt idx="35">
                  <c:v>154.90249999999997</c:v>
                </c:pt>
                <c:pt idx="36">
                  <c:v>156.2572222222222</c:v>
                </c:pt>
                <c:pt idx="37">
                  <c:v>159.25416666666669</c:v>
                </c:pt>
                <c:pt idx="38">
                  <c:v>154.49694444444444</c:v>
                </c:pt>
                <c:pt idx="39">
                  <c:v>136.88083333333336</c:v>
                </c:pt>
                <c:pt idx="40">
                  <c:v>149.43638888888887</c:v>
                </c:pt>
                <c:pt idx="41" formatCode="0">
                  <c:v>147.82888888888888</c:v>
                </c:pt>
                <c:pt idx="42" formatCode="0">
                  <c:v>145.82055555555556</c:v>
                </c:pt>
                <c:pt idx="43" formatCode="0">
                  <c:v>143.76722222222222</c:v>
                </c:pt>
                <c:pt idx="44" formatCode="0">
                  <c:v>142.5647222222222</c:v>
                </c:pt>
                <c:pt idx="45" formatCode="0">
                  <c:v>140.37777777777779</c:v>
                </c:pt>
              </c:numCache>
            </c:numRef>
          </c:val>
          <c:extLst>
            <c:ext xmlns:c16="http://schemas.microsoft.com/office/drawing/2014/chart" uri="{C3380CC4-5D6E-409C-BE32-E72D297353CC}">
              <c16:uniqueId val="{00000000-4A13-406C-8F12-BC0C539A9A8F}"/>
            </c:ext>
          </c:extLst>
        </c:ser>
        <c:ser>
          <c:idx val="1"/>
          <c:order val="1"/>
          <c:tx>
            <c:strRef>
              <c:f>'2.2'!$C$6</c:f>
              <c:strCache>
                <c:ptCount val="1"/>
                <c:pt idx="0">
                  <c:v>Domestic transports</c:v>
                </c:pt>
              </c:strCache>
            </c:strRef>
          </c:tx>
          <c:spPr>
            <a:solidFill>
              <a:schemeClr val="accent5">
                <a:alpha val="79000"/>
              </a:schemeClr>
            </a:solidFill>
          </c:spPr>
          <c:cat>
            <c:numRef>
              <c:f>'2.2'!$A$7:$A$52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'2.2'!$C$7:$C$52</c:f>
              <c:numCache>
                <c:formatCode>#,##0</c:formatCode>
                <c:ptCount val="46"/>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91.099593288888897</c:v>
                </c:pt>
                <c:pt idx="36">
                  <c:v>91.873656311111105</c:v>
                </c:pt>
                <c:pt idx="37">
                  <c:v>92.765980877777778</c:v>
                </c:pt>
                <c:pt idx="38">
                  <c:v>89.681166888888896</c:v>
                </c:pt>
                <c:pt idx="39">
                  <c:v>88.459444444444429</c:v>
                </c:pt>
                <c:pt idx="40">
                  <c:v>90.478888888888903</c:v>
                </c:pt>
                <c:pt idx="41" formatCode="0">
                  <c:v>89.1388888888889</c:v>
                </c:pt>
                <c:pt idx="42" formatCode="0">
                  <c:v>85.757777777777747</c:v>
                </c:pt>
                <c:pt idx="43" formatCode="0">
                  <c:v>85.010555555555527</c:v>
                </c:pt>
                <c:pt idx="44" formatCode="0">
                  <c:v>85.278333333333322</c:v>
                </c:pt>
                <c:pt idx="45" formatCode="0">
                  <c:v>87.180277777777775</c:v>
                </c:pt>
              </c:numCache>
            </c:numRef>
          </c:val>
          <c:extLst>
            <c:ext xmlns:c16="http://schemas.microsoft.com/office/drawing/2014/chart" uri="{C3380CC4-5D6E-409C-BE32-E72D297353CC}">
              <c16:uniqueId val="{00000001-4A13-406C-8F12-BC0C539A9A8F}"/>
            </c:ext>
          </c:extLst>
        </c:ser>
        <c:ser>
          <c:idx val="2"/>
          <c:order val="2"/>
          <c:tx>
            <c:strRef>
              <c:f>'2.2'!$D$6</c:f>
              <c:strCache>
                <c:ptCount val="1"/>
                <c:pt idx="0">
                  <c:v>Residential and services</c:v>
                </c:pt>
              </c:strCache>
            </c:strRef>
          </c:tx>
          <c:spPr>
            <a:solidFill>
              <a:srgbClr val="92D050">
                <a:alpha val="80000"/>
              </a:srgbClr>
            </a:solidFill>
          </c:spPr>
          <c:cat>
            <c:numRef>
              <c:f>'2.2'!$A$7:$A$52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'2.2'!$D$7:$D$52</c:f>
              <c:numCache>
                <c:formatCode>#,##0</c:formatCode>
                <c:ptCount val="46"/>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148.50916666666669</c:v>
                </c:pt>
                <c:pt idx="36">
                  <c:v>144.80805555555557</c:v>
                </c:pt>
                <c:pt idx="37">
                  <c:v>144.11916666666664</c:v>
                </c:pt>
                <c:pt idx="38">
                  <c:v>141.36861111111114</c:v>
                </c:pt>
                <c:pt idx="39">
                  <c:v>145.45277777777778</c:v>
                </c:pt>
                <c:pt idx="40">
                  <c:v>155.42138888888888</c:v>
                </c:pt>
                <c:pt idx="41" formatCode="0">
                  <c:v>142.91277777777776</c:v>
                </c:pt>
                <c:pt idx="42" formatCode="0">
                  <c:v>146.11361111111111</c:v>
                </c:pt>
                <c:pt idx="43" formatCode="0">
                  <c:v>146.54</c:v>
                </c:pt>
                <c:pt idx="44" formatCode="0">
                  <c:v>140.2825</c:v>
                </c:pt>
                <c:pt idx="45" formatCode="0">
                  <c:v>142.71555555555557</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6">
                <a:lumMod val="75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'12.7'!$E$7:$E$24</c:f>
              <c:numCache>
                <c:formatCode>#,##0</c:formatCode>
                <c:ptCount val="18"/>
                <c:pt idx="0">
                  <c:v>31763.920337357104</c:v>
                </c:pt>
                <c:pt idx="1">
                  <c:v>27125.334367265095</c:v>
                </c:pt>
                <c:pt idx="2">
                  <c:v>12239.107008289375</c:v>
                </c:pt>
                <c:pt idx="3">
                  <c:v>10534.954007832643</c:v>
                </c:pt>
                <c:pt idx="4">
                  <c:v>887.09824475652658</c:v>
                </c:pt>
                <c:pt idx="5">
                  <c:v>3848.2481400309325</c:v>
                </c:pt>
                <c:pt idx="6">
                  <c:v>11394.256756756757</c:v>
                </c:pt>
                <c:pt idx="7">
                  <c:v>9843.3693505771116</c:v>
                </c:pt>
                <c:pt idx="8">
                  <c:v>671.39494821634071</c:v>
                </c:pt>
                <c:pt idx="9">
                  <c:v>1347.0001775664139</c:v>
                </c:pt>
                <c:pt idx="10">
                  <c:v>9399.3504138746557</c:v>
                </c:pt>
                <c:pt idx="11">
                  <c:v>11438.996918955127</c:v>
                </c:pt>
                <c:pt idx="12">
                  <c:v>4179.7929511701168</c:v>
                </c:pt>
                <c:pt idx="13">
                  <c:v>5486.6001806866097</c:v>
                </c:pt>
                <c:pt idx="14">
                  <c:v>1315.350115990721</c:v>
                </c:pt>
                <c:pt idx="15">
                  <c:v>1486.9377444363688</c:v>
                </c:pt>
                <c:pt idx="16">
                  <c:v>5742.7300353142673</c:v>
                </c:pt>
                <c:pt idx="17">
                  <c:v>5962.6256204595065</c:v>
                </c:pt>
              </c:numCache>
            </c:numRef>
          </c:val>
          <c:extLst>
            <c:ext xmlns:c16="http://schemas.microsoft.com/office/drawing/2014/chart" uri="{C3380CC4-5D6E-409C-BE32-E72D297353CC}">
              <c16:uniqueId val="{00000000-B5F8-4BD2-B720-D4085C49AD44}"/>
            </c:ext>
          </c:extLst>
        </c:ser>
        <c:ser>
          <c:idx val="1"/>
          <c:order val="1"/>
          <c:tx>
            <c:strRef>
              <c:f>'12.7'!$F$6</c:f>
              <c:strCache>
                <c:ptCount val="1"/>
                <c:pt idx="0">
                  <c:v>Natural gas</c:v>
                </c:pt>
              </c:strCache>
            </c:strRef>
          </c:tx>
          <c:spPr>
            <a:solidFill>
              <a:schemeClr val="accent2">
                <a:lumMod val="60000"/>
                <a:lumOff val="40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'12.7'!$F$7:$F$24</c:f>
              <c:numCache>
                <c:formatCode>#,##0</c:formatCode>
                <c:ptCount val="18"/>
                <c:pt idx="0">
                  <c:v>14084.907146854266</c:v>
                </c:pt>
                <c:pt idx="1">
                  <c:v>12943.125638374533</c:v>
                </c:pt>
                <c:pt idx="2">
                  <c:v>5492.8208574060127</c:v>
                </c:pt>
                <c:pt idx="3">
                  <c:v>5382.3282034125132</c:v>
                </c:pt>
                <c:pt idx="4">
                  <c:v>93.307171971964991</c:v>
                </c:pt>
                <c:pt idx="5">
                  <c:v>905.70733799028062</c:v>
                </c:pt>
                <c:pt idx="6">
                  <c:v>11243.616824324325</c:v>
                </c:pt>
                <c:pt idx="7">
                  <c:v>10224.324224725353</c:v>
                </c:pt>
                <c:pt idx="8">
                  <c:v>75.441093210586885</c:v>
                </c:pt>
                <c:pt idx="9">
                  <c:v>238.93176817546649</c:v>
                </c:pt>
                <c:pt idx="10">
                  <c:v>2864.271422940481</c:v>
                </c:pt>
                <c:pt idx="11">
                  <c:v>8377.3390488948426</c:v>
                </c:pt>
                <c:pt idx="12">
                  <c:v>773.65408415841591</c:v>
                </c:pt>
                <c:pt idx="13">
                  <c:v>1505.2456133306569</c:v>
                </c:pt>
                <c:pt idx="14">
                  <c:v>159.58804895608353</c:v>
                </c:pt>
                <c:pt idx="15">
                  <c:v>322.44842176305679</c:v>
                </c:pt>
                <c:pt idx="16">
                  <c:v>2080.0529713999913</c:v>
                </c:pt>
                <c:pt idx="17">
                  <c:v>2247.3008845772874</c:v>
                </c:pt>
              </c:numCache>
            </c:numRef>
          </c:val>
          <c:extLst>
            <c:ext xmlns:c16="http://schemas.microsoft.com/office/drawing/2014/chart" uri="{C3380CC4-5D6E-409C-BE32-E72D297353CC}">
              <c16:uniqueId val="{00000001-B5F8-4BD2-B720-D4085C49AD44}"/>
            </c:ext>
          </c:extLst>
        </c:ser>
        <c:ser>
          <c:idx val="2"/>
          <c:order val="2"/>
          <c:tx>
            <c:strRef>
              <c:f>'12.7'!$G$6</c:f>
              <c:strCache>
                <c:ptCount val="1"/>
                <c:pt idx="0">
                  <c:v>Coal, peat, shale oil</c:v>
                </c:pt>
              </c:strCache>
            </c:strRef>
          </c:tx>
          <c:spPr>
            <a:solidFill>
              <a:schemeClr val="tx1">
                <a:lumMod val="65000"/>
                <a:lumOff val="35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'12.7'!$G$7:$G$24</c:f>
              <c:numCache>
                <c:formatCode>#,##0</c:formatCode>
                <c:ptCount val="18"/>
                <c:pt idx="0">
                  <c:v>2587.2078103765289</c:v>
                </c:pt>
                <c:pt idx="1">
                  <c:v>809.07516370586211</c:v>
                </c:pt>
                <c:pt idx="2">
                  <c:v>2966.7309093192666</c:v>
                </c:pt>
                <c:pt idx="3">
                  <c:v>841.10536673685874</c:v>
                </c:pt>
                <c:pt idx="4">
                  <c:v>3228.5276291557202</c:v>
                </c:pt>
                <c:pt idx="5">
                  <c:v>6187.0010994891045</c:v>
                </c:pt>
                <c:pt idx="6">
                  <c:v>4301.1354729729737</c:v>
                </c:pt>
                <c:pt idx="7">
                  <c:v>951.8615630649424</c:v>
                </c:pt>
                <c:pt idx="8">
                  <c:v>520.65997698504032</c:v>
                </c:pt>
                <c:pt idx="9">
                  <c:v>929.04242293231641</c:v>
                </c:pt>
                <c:pt idx="10">
                  <c:v>16.227906976744187</c:v>
                </c:pt>
                <c:pt idx="11">
                  <c:v>114.04099129269929</c:v>
                </c:pt>
                <c:pt idx="12">
                  <c:v>221.10477610261026</c:v>
                </c:pt>
                <c:pt idx="13">
                  <c:v>264.93798434049393</c:v>
                </c:pt>
                <c:pt idx="14">
                  <c:v>365.85983521318298</c:v>
                </c:pt>
                <c:pt idx="15">
                  <c:v>218.41722043401518</c:v>
                </c:pt>
                <c:pt idx="16">
                  <c:v>1687.0519881325877</c:v>
                </c:pt>
                <c:pt idx="17">
                  <c:v>1715.7918539426601</c:v>
                </c:pt>
              </c:numCache>
            </c:numRef>
          </c:val>
          <c:extLst>
            <c:ext xmlns:c16="http://schemas.microsoft.com/office/drawing/2014/chart" uri="{C3380CC4-5D6E-409C-BE32-E72D297353CC}">
              <c16:uniqueId val="{00000002-B5F8-4BD2-B720-D4085C49AD44}"/>
            </c:ext>
          </c:extLst>
        </c:ser>
        <c:ser>
          <c:idx val="3"/>
          <c:order val="3"/>
          <c:tx>
            <c:strRef>
              <c:f>'12.7'!$H$6</c:f>
              <c:strCache>
                <c:ptCount val="1"/>
                <c:pt idx="0">
                  <c:v>Renewables</c:v>
                </c:pt>
              </c:strCache>
            </c:strRef>
          </c:tx>
          <c:spPr>
            <a:solidFill>
              <a:schemeClr val="accent4">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'12.7'!$H$7:$H$24</c:f>
              <c:numCache>
                <c:formatCode>#,##0</c:formatCode>
                <c:ptCount val="18"/>
                <c:pt idx="0">
                  <c:v>1065.8431529298905</c:v>
                </c:pt>
                <c:pt idx="1">
                  <c:v>3077.393395369239</c:v>
                </c:pt>
                <c:pt idx="2">
                  <c:v>949.81254709871894</c:v>
                </c:pt>
                <c:pt idx="3">
                  <c:v>1936.2200224352039</c:v>
                </c:pt>
                <c:pt idx="4">
                  <c:v>2035.1865568075693</c:v>
                </c:pt>
                <c:pt idx="5">
                  <c:v>1881.3513600680219</c:v>
                </c:pt>
                <c:pt idx="6">
                  <c:v>636.97824324324336</c:v>
                </c:pt>
                <c:pt idx="7">
                  <c:v>211.78535669586987</c:v>
                </c:pt>
                <c:pt idx="8">
                  <c:v>1743.5497928653624</c:v>
                </c:pt>
                <c:pt idx="9">
                  <c:v>1541.5323518285481</c:v>
                </c:pt>
                <c:pt idx="10">
                  <c:v>35.389672841939301</c:v>
                </c:pt>
                <c:pt idx="11">
                  <c:v>48.919223040857339</c:v>
                </c:pt>
                <c:pt idx="12">
                  <c:v>2156.1559405940598</c:v>
                </c:pt>
                <c:pt idx="13">
                  <c:v>2167.6022485444696</c:v>
                </c:pt>
                <c:pt idx="14">
                  <c:v>3180.4296136309099</c:v>
                </c:pt>
                <c:pt idx="15">
                  <c:v>3038.369198421763</c:v>
                </c:pt>
                <c:pt idx="16">
                  <c:v>1753.3486639688388</c:v>
                </c:pt>
                <c:pt idx="17">
                  <c:v>1868.0093658690023</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c:v>
                </c:pt>
              </c:strCache>
            </c:strRef>
          </c:tx>
          <c:spPr>
            <a:solidFill>
              <a:schemeClr val="accent5">
                <a:lumMod val="60000"/>
                <a:lumOff val="40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China</c:v>
                  </c:pt>
                  <c:pt idx="6">
                    <c:v>Russia</c:v>
                  </c:pt>
                  <c:pt idx="8">
                    <c:v>India</c:v>
                  </c:pt>
                  <c:pt idx="10">
                    <c:v>Middle East</c:v>
                  </c:pt>
                  <c:pt idx="12">
                    <c:v>Central and South America</c:v>
                  </c:pt>
                  <c:pt idx="14">
                    <c:v>Africa</c:v>
                  </c:pt>
                  <c:pt idx="16">
                    <c:v>World</c:v>
                  </c:pt>
                </c:lvl>
              </c:multiLvlStrCache>
            </c:multiLvlStrRef>
          </c:cat>
          <c:val>
            <c:numRef>
              <c:f>'12.7'!$I$7:$I$24</c:f>
              <c:numCache>
                <c:formatCode>#,##0</c:formatCode>
                <c:ptCount val="18"/>
                <c:pt idx="0">
                  <c:v>10528.594651850668</c:v>
                </c:pt>
                <c:pt idx="1">
                  <c:v>11869.763762258359</c:v>
                </c:pt>
                <c:pt idx="2">
                  <c:v>4529.4482542074857</c:v>
                </c:pt>
                <c:pt idx="3">
                  <c:v>5326.9853974376647</c:v>
                </c:pt>
                <c:pt idx="4">
                  <c:v>417.0501697637273</c:v>
                </c:pt>
                <c:pt idx="5">
                  <c:v>3457.1943237042519</c:v>
                </c:pt>
                <c:pt idx="6">
                  <c:v>5586.3290540540547</c:v>
                </c:pt>
                <c:pt idx="7">
                  <c:v>5174.7111667361987</c:v>
                </c:pt>
                <c:pt idx="8">
                  <c:v>247.48211737629461</c:v>
                </c:pt>
                <c:pt idx="9">
                  <c:v>687.27339051486547</c:v>
                </c:pt>
                <c:pt idx="10">
                  <c:v>1423.1966101694918</c:v>
                </c:pt>
                <c:pt idx="11">
                  <c:v>3507.2278633623582</c:v>
                </c:pt>
                <c:pt idx="12">
                  <c:v>1173.598897389739</c:v>
                </c:pt>
                <c:pt idx="13">
                  <c:v>2058.7738405942587</c:v>
                </c:pt>
                <c:pt idx="14">
                  <c:v>411.22251019918411</c:v>
                </c:pt>
                <c:pt idx="15">
                  <c:v>515.04400719897558</c:v>
                </c:pt>
                <c:pt idx="16">
                  <c:v>1837.0716553751954</c:v>
                </c:pt>
                <c:pt idx="17">
                  <c:v>2690.8708616489116</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'3.1'!$B$7:$B$52</c:f>
              <c:numCache>
                <c:formatCode>0</c:formatCode>
                <c:ptCount val="46"/>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13.341666666666667</c:v>
                </c:pt>
                <c:pt idx="36">
                  <c:v>12.608888888888888</c:v>
                </c:pt>
                <c:pt idx="37">
                  <c:v>13.716111111111111</c:v>
                </c:pt>
                <c:pt idx="38">
                  <c:v>13.971944444444443</c:v>
                </c:pt>
                <c:pt idx="39">
                  <c:v>14.847777777777777</c:v>
                </c:pt>
                <c:pt idx="40">
                  <c:v>14.71</c:v>
                </c:pt>
                <c:pt idx="41">
                  <c:v>15.038611111111111</c:v>
                </c:pt>
                <c:pt idx="42">
                  <c:v>14.730833333333333</c:v>
                </c:pt>
                <c:pt idx="43">
                  <c:v>14.7075</c:v>
                </c:pt>
                <c:pt idx="44">
                  <c:v>13.669166666666666</c:v>
                </c:pt>
                <c:pt idx="45">
                  <c:v>13.592222222222222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'3.1'!$C$7:$C$52</c:f>
              <c:numCache>
                <c:formatCode>0</c:formatCode>
                <c:ptCount val="46"/>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'3.1'!$D$7:$D$52</c:f>
              <c:numCache>
                <c:formatCode>0</c:formatCode>
                <c:ptCount val="46"/>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18.946388888888887</c:v>
                </c:pt>
                <c:pt idx="36">
                  <c:v>16.510555555555555</c:v>
                </c:pt>
                <c:pt idx="37">
                  <c:v>16.563055555555554</c:v>
                </c:pt>
                <c:pt idx="38">
                  <c:v>15.061111111111112</c:v>
                </c:pt>
                <c:pt idx="39">
                  <c:v>13.823055555555555</c:v>
                </c:pt>
                <c:pt idx="40">
                  <c:v>14.362777777777778</c:v>
                </c:pt>
                <c:pt idx="41">
                  <c:v>13.693333333333332</c:v>
                </c:pt>
                <c:pt idx="42">
                  <c:v>12.758611111111113</c:v>
                </c:pt>
                <c:pt idx="43">
                  <c:v>12.542500000000002</c:v>
                </c:pt>
                <c:pt idx="44">
                  <c:v>12.301944444444443</c:v>
                </c:pt>
                <c:pt idx="45">
                  <c:v>12.058333333333332</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'3.1'!$E$7:$E$52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'3.1'!$F$7:$F$52</c:f>
              <c:numCache>
                <c:formatCode>0</c:formatCode>
                <c:ptCount val="46"/>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'3.1'!$G$7:$G$52</c:f>
              <c:numCache>
                <c:formatCode>0</c:formatCode>
                <c:ptCount val="46"/>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'3.1'!$H$7:$H$52</c:f>
              <c:numCache>
                <c:formatCode>0</c:formatCode>
                <c:ptCount val="46"/>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71.656111111111116</c:v>
                </c:pt>
                <c:pt idx="36">
                  <c:v>71.394722222222214</c:v>
                </c:pt>
                <c:pt idx="37">
                  <c:v>69.192499999999995</c:v>
                </c:pt>
                <c:pt idx="38">
                  <c:v>68.196666666666673</c:v>
                </c:pt>
                <c:pt idx="39">
                  <c:v>71.416388888888889</c:v>
                </c:pt>
                <c:pt idx="40">
                  <c:v>74.656388888888884</c:v>
                </c:pt>
                <c:pt idx="41">
                  <c:v>69.628611111111113</c:v>
                </c:pt>
                <c:pt idx="42">
                  <c:v>71.245555555555541</c:v>
                </c:pt>
                <c:pt idx="43">
                  <c:v>70.906388888888884</c:v>
                </c:pt>
                <c:pt idx="44">
                  <c:v>68.043333333333322</c:v>
                </c:pt>
                <c:pt idx="45">
                  <c:v>70.688611111111115</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4504152868741871"/>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Electric heating</c:v>
                </c:pt>
              </c:strCache>
            </c:strRef>
          </c:tx>
          <c:spPr>
            <a:solidFill>
              <a:srgbClr val="92D050">
                <a:alpha val="80000"/>
              </a:srgb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'3.2'!$B$7:$B$39</c:f>
              <c:numCache>
                <c:formatCode>0</c:formatCode>
                <c:ptCount val="33"/>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3.5408333333333331</c:v>
                </c:pt>
                <c:pt idx="23">
                  <c:v>3.6988888888888889</c:v>
                </c:pt>
                <c:pt idx="24">
                  <c:v>4.3952777777777774</c:v>
                </c:pt>
                <c:pt idx="25">
                  <c:v>4.4411111111111117</c:v>
                </c:pt>
                <c:pt idx="26">
                  <c:v>4.1322222222222216</c:v>
                </c:pt>
                <c:pt idx="27">
                  <c:v>4.306111111111111</c:v>
                </c:pt>
                <c:pt idx="28">
                  <c:v>4.286944444444444</c:v>
                </c:pt>
                <c:pt idx="29">
                  <c:v>4.2769444444444442</c:v>
                </c:pt>
                <c:pt idx="30">
                  <c:v>4.3988888888888891</c:v>
                </c:pt>
                <c:pt idx="31">
                  <c:v>4.3769444444444447</c:v>
                </c:pt>
                <c:pt idx="32">
                  <c:v>4.6402777777777775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2">
                <a:lumMod val="75000"/>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'3.2'!$C$7:$C$39</c:f>
              <c:numCache>
                <c:formatCode>0</c:formatCode>
                <c:ptCount val="33"/>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7.6211111111111114</c:v>
                </c:pt>
                <c:pt idx="23">
                  <c:v>6.8852777777777776</c:v>
                </c:pt>
                <c:pt idx="24">
                  <c:v>7.0213888888888887</c:v>
                </c:pt>
                <c:pt idx="25">
                  <c:v>6.423055555555556</c:v>
                </c:pt>
                <c:pt idx="26">
                  <c:v>6.2038888888888888</c:v>
                </c:pt>
                <c:pt idx="27">
                  <c:v>6.6291666666666664</c:v>
                </c:pt>
                <c:pt idx="28">
                  <c:v>6.3986111111111112</c:v>
                </c:pt>
                <c:pt idx="29">
                  <c:v>6.440833333333333</c:v>
                </c:pt>
                <c:pt idx="30">
                  <c:v>6.8238888888888889</c:v>
                </c:pt>
                <c:pt idx="31">
                  <c:v>6.652222222222222</c:v>
                </c:pt>
                <c:pt idx="32">
                  <c:v>6.6477777777777778</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Forestry</c:v>
                </c:pt>
              </c:strCache>
            </c:strRef>
          </c:tx>
          <c:spPr>
            <a:solidFill>
              <a:schemeClr val="accent6">
                <a:lumMod val="75000"/>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'3.2'!$D$7:$D$39</c:f>
              <c:numCache>
                <c:formatCode>0</c:formatCode>
                <c:ptCount val="33"/>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1.6936111111111112</c:v>
                </c:pt>
                <c:pt idx="23">
                  <c:v>1.6736111111111112</c:v>
                </c:pt>
                <c:pt idx="24">
                  <c:v>2.15</c:v>
                </c:pt>
                <c:pt idx="25">
                  <c:v>2.3002777777777776</c:v>
                </c:pt>
                <c:pt idx="26">
                  <c:v>2.2663888888888888</c:v>
                </c:pt>
                <c:pt idx="27">
                  <c:v>2.5766666666666667</c:v>
                </c:pt>
                <c:pt idx="28">
                  <c:v>2.7733333333333334</c:v>
                </c:pt>
                <c:pt idx="29">
                  <c:v>2.5163888888888888</c:v>
                </c:pt>
                <c:pt idx="30">
                  <c:v>2.5019444444444443</c:v>
                </c:pt>
                <c:pt idx="31">
                  <c:v>2.5325000000000002</c:v>
                </c:pt>
                <c:pt idx="32">
                  <c:v>2.6463888888888887</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Fishing</c:v>
                </c:pt>
              </c:strCache>
            </c:strRef>
          </c:tx>
          <c:spPr>
            <a:solidFill>
              <a:schemeClr val="accent2">
                <a:lumMod val="60000"/>
                <a:lumOff val="40000"/>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'3.2'!$E$7:$E$39</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0.60166666666666668</c:v>
                </c:pt>
                <c:pt idx="24">
                  <c:v>0.66777777777777769</c:v>
                </c:pt>
                <c:pt idx="25">
                  <c:v>0.62055555555555553</c:v>
                </c:pt>
                <c:pt idx="26">
                  <c:v>0.68305555555555553</c:v>
                </c:pt>
                <c:pt idx="27">
                  <c:v>0.64888888888888896</c:v>
                </c:pt>
                <c:pt idx="28">
                  <c:v>0.60722222222222222</c:v>
                </c:pt>
                <c:pt idx="29">
                  <c:v>0.64222222222222214</c:v>
                </c:pt>
                <c:pt idx="30">
                  <c:v>0.73277777777777775</c:v>
                </c:pt>
                <c:pt idx="31">
                  <c:v>0.78861111111111104</c:v>
                </c:pt>
                <c:pt idx="32">
                  <c:v>0.54722222222222217</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accent5">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'3.2'!$F$7:$F$39</c:f>
              <c:numCache>
                <c:formatCode>0</c:formatCode>
                <c:ptCount val="33"/>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rgbClr val="FFFF00">
                <a:alpha val="80000"/>
              </a:srgb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'3.2'!$G$7:$G$39</c:f>
              <c:numCache>
                <c:formatCode>0</c:formatCode>
                <c:ptCount val="33"/>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26.462499999999999</c:v>
                </c:pt>
                <c:pt idx="23">
                  <c:v>29.09611111111111</c:v>
                </c:pt>
                <c:pt idx="24">
                  <c:v>27.77611111111111</c:v>
                </c:pt>
                <c:pt idx="25">
                  <c:v>27.107500000000002</c:v>
                </c:pt>
                <c:pt idx="26">
                  <c:v>27.859722222222224</c:v>
                </c:pt>
                <c:pt idx="27">
                  <c:v>29.458333333333332</c:v>
                </c:pt>
                <c:pt idx="28">
                  <c:v>27.213888888888889</c:v>
                </c:pt>
                <c:pt idx="29">
                  <c:v>27.958888888888886</c:v>
                </c:pt>
                <c:pt idx="30">
                  <c:v>29.114999999999998</c:v>
                </c:pt>
                <c:pt idx="31">
                  <c:v>28.194444444444446</c:v>
                </c:pt>
                <c:pt idx="32">
                  <c:v>28.594999999999999</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4">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'3.2'!$H$7:$H$39</c:f>
              <c:numCache>
                <c:formatCode>0</c:formatCode>
                <c:ptCount val="33"/>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88.925277777777779</c:v>
                </c:pt>
                <c:pt idx="23">
                  <c:v>86.290277777777774</c:v>
                </c:pt>
                <c:pt idx="24">
                  <c:v>83.522222222222226</c:v>
                </c:pt>
                <c:pt idx="25">
                  <c:v>83.714444444444439</c:v>
                </c:pt>
                <c:pt idx="26">
                  <c:v>86.231388888888887</c:v>
                </c:pt>
                <c:pt idx="27">
                  <c:v>92.665277777777774</c:v>
                </c:pt>
                <c:pt idx="28">
                  <c:v>84.6</c:v>
                </c:pt>
                <c:pt idx="29">
                  <c:v>87.41</c:v>
                </c:pt>
                <c:pt idx="30">
                  <c:v>86.244166666666672</c:v>
                </c:pt>
                <c:pt idx="31">
                  <c:v>82.143333333333331</c:v>
                </c:pt>
                <c:pt idx="32">
                  <c:v>83.838611111111106</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4504152868741871"/>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1">
                <a:shade val="65000"/>
              </a:schemeClr>
            </a:solidFill>
            <a:ln>
              <a:noFill/>
            </a:ln>
            <a:effectLst/>
          </c:spPr>
          <c:cat>
            <c:numRef>
              <c:f>'3.3'!$A$7:$A$52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'3.3'!$B$7:$B$52</c:f>
              <c:numCache>
                <c:formatCode>0.0</c:formatCode>
                <c:ptCount val="46"/>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20.834800000000001</c:v>
                </c:pt>
                <c:pt idx="36">
                  <c:v>20.936499999999999</c:v>
                </c:pt>
                <c:pt idx="37">
                  <c:v>18.428899999999999</c:v>
                </c:pt>
                <c:pt idx="38">
                  <c:v>16.832000000000001</c:v>
                </c:pt>
                <c:pt idx="39">
                  <c:v>18.1998</c:v>
                </c:pt>
                <c:pt idx="40">
                  <c:v>19.625600000000002</c:v>
                </c:pt>
                <c:pt idx="41">
                  <c:v>18.474899999999998</c:v>
                </c:pt>
                <c:pt idx="42">
                  <c:v>19.004300000000001</c:v>
                </c:pt>
                <c:pt idx="43">
                  <c:v>19.596399999999999</c:v>
                </c:pt>
                <c:pt idx="44">
                  <c:v>18.662401171155835</c:v>
                </c:pt>
                <c:pt idx="45">
                  <c:v>18.801709913051951</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accent1"/>
            </a:solidFill>
            <a:ln>
              <a:noFill/>
            </a:ln>
            <a:effectLst/>
          </c:spPr>
          <c:cat>
            <c:numRef>
              <c:f>'3.3'!$A$7:$A$52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'3.3'!$C$7:$C$52</c:f>
              <c:numCache>
                <c:formatCode>0.0</c:formatCode>
                <c:ptCount val="46"/>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21.763099999999998</c:v>
                </c:pt>
                <c:pt idx="41">
                  <c:v>20.624099999999999</c:v>
                </c:pt>
                <c:pt idx="42">
                  <c:v>21.9465</c:v>
                </c:pt>
                <c:pt idx="43">
                  <c:v>21.547599999999999</c:v>
                </c:pt>
                <c:pt idx="44">
                  <c:v>21.497900000000001</c:v>
                </c:pt>
                <c:pt idx="45">
                  <c:v>21.478099999999998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accent1">
                <a:tint val="65000"/>
              </a:schemeClr>
            </a:solidFill>
            <a:ln>
              <a:noFill/>
            </a:ln>
            <a:effectLst/>
          </c:spPr>
          <c:cat>
            <c:numRef>
              <c:f>'3.3'!$A$7:$A$52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'3.3'!$D$7:$D$52</c:f>
              <c:numCache>
                <c:formatCode>0.0</c:formatCode>
                <c:ptCount val="46"/>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31.106711111111107</c:v>
                </c:pt>
                <c:pt idx="36">
                  <c:v>30.935522222222218</c:v>
                </c:pt>
                <c:pt idx="37">
                  <c:v>31.511500000000009</c:v>
                </c:pt>
                <c:pt idx="38">
                  <c:v>32.020666666666671</c:v>
                </c:pt>
                <c:pt idx="39">
                  <c:v>32.495638888888884</c:v>
                </c:pt>
                <c:pt idx="40">
                  <c:v>33.267688888888884</c:v>
                </c:pt>
                <c:pt idx="41">
                  <c:v>30.529611111111116</c:v>
                </c:pt>
                <c:pt idx="42">
                  <c:v>30.294755555555543</c:v>
                </c:pt>
                <c:pt idx="43">
                  <c:v>29.762388888888896</c:v>
                </c:pt>
                <c:pt idx="44">
                  <c:v>27.883032162177493</c:v>
                </c:pt>
                <c:pt idx="45">
                  <c:v>30.408801198059162</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17828910638506634"/>
          <c:w val="0.14668562263050453"/>
          <c:h val="0.6450415286874187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'3.3'!$A$3</c:f>
          <c:strCache>
            <c:ptCount val="1"/>
            <c:pt idx="0">
              <c:v>Electricity use in the residential and services sector, from 1970,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6">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'3.4'!$B$8:$B$40</c:f>
              <c:numCache>
                <c:formatCode>0.0</c:formatCode>
                <c:ptCount val="33"/>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FFFF0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'3.4'!$C$8:$C$40</c:f>
              <c:numCache>
                <c:formatCode>0.0</c:formatCode>
                <c:ptCount val="33"/>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'3.4'!$D$8:$D$40</c:f>
              <c:numCache>
                <c:formatCode>0.0</c:formatCode>
                <c:ptCount val="33"/>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2">
                <a:lumMod val="60000"/>
                <a:lumOff val="40000"/>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'3.4'!$E$8:$E$40</c:f>
              <c:numCache>
                <c:formatCode>0.0</c:formatCode>
                <c:ptCount val="33"/>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rgbClr val="92D05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'3.4'!$F$8:$F$40</c:f>
              <c:numCache>
                <c:formatCode>0.0</c:formatCode>
                <c:ptCount val="33"/>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1</xdr:row>
          <xdr:rowOff>152400</xdr:rowOff>
        </xdr:from>
        <xdr:to>
          <xdr:col>4</xdr:col>
          <xdr:colOff>9525</xdr:colOff>
          <xdr:row>2</xdr:row>
          <xdr:rowOff>133350</xdr:rowOff>
        </xdr:to>
        <xdr:sp macro="" textlink="">
          <xdr:nvSpPr>
            <xdr:cNvPr id="48130" name="ComboBox1" hidden="1">
              <a:extLst>
                <a:ext uri="{63B3BB69-23CF-44E3-9099-C40C66FF867C}">
                  <a14:compatExt spid="_x0000_s48130"/>
                </a:ext>
                <a:ext uri="{FF2B5EF4-FFF2-40B4-BE49-F238E27FC236}">
                  <a16:creationId xmlns:a16="http://schemas.microsoft.com/office/drawing/2014/main" id="{00000000-0008-0000-0100-000002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0</xdr:row>
          <xdr:rowOff>400050</xdr:rowOff>
        </xdr:from>
        <xdr:to>
          <xdr:col>4</xdr:col>
          <xdr:colOff>19050</xdr:colOff>
          <xdr:row>1</xdr:row>
          <xdr:rowOff>133350</xdr:rowOff>
        </xdr:to>
        <xdr:sp macro="" textlink="">
          <xdr:nvSpPr>
            <xdr:cNvPr id="48131" name="Label1" hidden="1">
              <a:extLst>
                <a:ext uri="{63B3BB69-23CF-44E3-9099-C40C66FF867C}">
                  <a14:compatExt spid="_x0000_s48131"/>
                </a:ext>
                <a:ext uri="{FF2B5EF4-FFF2-40B4-BE49-F238E27FC236}">
                  <a16:creationId xmlns:a16="http://schemas.microsoft.com/office/drawing/2014/main" id="{00000000-0008-0000-0100-000003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45</xdr:row>
      <xdr:rowOff>23813</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733425</xdr:colOff>
      <xdr:row>7</xdr:row>
      <xdr:rowOff>66675</xdr:rowOff>
    </xdr:from>
    <xdr:to>
      <xdr:col>15</xdr:col>
      <xdr:colOff>419100</xdr:colOff>
      <xdr:row>31</xdr:row>
      <xdr:rowOff>104775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33</xdr:row>
      <xdr:rowOff>57150</xdr:rowOff>
    </xdr:to>
    <xdr:graphicFrame macro="">
      <xdr:nvGraphicFramePr>
        <xdr:cNvPr id="3" name="Diagra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600075</xdr:colOff>
      <xdr:row>8</xdr:row>
      <xdr:rowOff>190500</xdr:rowOff>
    </xdr:from>
    <xdr:to>
      <xdr:col>20</xdr:col>
      <xdr:colOff>142875</xdr:colOff>
      <xdr:row>35</xdr:row>
      <xdr:rowOff>161925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57150</xdr:colOff>
      <xdr:row>22</xdr:row>
      <xdr:rowOff>100013</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3</xdr:row>
          <xdr:rowOff>66675</xdr:rowOff>
        </xdr:from>
        <xdr:to>
          <xdr:col>8</xdr:col>
          <xdr:colOff>571500</xdr:colOff>
          <xdr:row>6</xdr:row>
          <xdr:rowOff>95250</xdr:rowOff>
        </xdr:to>
        <xdr:sp macro="" textlink="">
          <xdr:nvSpPr>
            <xdr:cNvPr id="97281" name="ComboBox1" hidden="1">
              <a:extLst>
                <a:ext uri="{63B3BB69-23CF-44E3-9099-C40C66FF867C}">
                  <a14:compatExt spid="_x0000_s97281"/>
                </a:ext>
                <a:ext uri="{FF2B5EF4-FFF2-40B4-BE49-F238E27FC236}">
                  <a16:creationId xmlns:a16="http://schemas.microsoft.com/office/drawing/2014/main" id="{00000000-0008-0000-0200-000001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xdr:row>
          <xdr:rowOff>180975</xdr:rowOff>
        </xdr:from>
        <xdr:to>
          <xdr:col>9</xdr:col>
          <xdr:colOff>0</xdr:colOff>
          <xdr:row>3</xdr:row>
          <xdr:rowOff>47625</xdr:rowOff>
        </xdr:to>
        <xdr:sp macro="" textlink="">
          <xdr:nvSpPr>
            <xdr:cNvPr id="97282" name="Label1" hidden="1">
              <a:extLst>
                <a:ext uri="{63B3BB69-23CF-44E3-9099-C40C66FF867C}">
                  <a14:compatExt spid="_x0000_s97282"/>
                </a:ext>
                <a:ext uri="{FF2B5EF4-FFF2-40B4-BE49-F238E27FC236}">
                  <a16:creationId xmlns:a16="http://schemas.microsoft.com/office/drawing/2014/main" id="{00000000-0008-0000-0200-000002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0</xdr:colOff>
      <xdr:row>6</xdr:row>
      <xdr:rowOff>0</xdr:rowOff>
    </xdr:from>
    <xdr:to>
      <xdr:col>13</xdr:col>
      <xdr:colOff>523875</xdr:colOff>
      <xdr:row>25</xdr:row>
      <xdr:rowOff>128588</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6</xdr:row>
      <xdr:rowOff>0</xdr:rowOff>
    </xdr:from>
    <xdr:to>
      <xdr:col>19</xdr:col>
      <xdr:colOff>304801</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5</xdr:row>
      <xdr:rowOff>476250</xdr:rowOff>
    </xdr:from>
    <xdr:to>
      <xdr:col>23</xdr:col>
      <xdr:colOff>304800</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0</xdr:colOff>
      <xdr:row>6</xdr:row>
      <xdr:rowOff>0</xdr:rowOff>
    </xdr:from>
    <xdr:to>
      <xdr:col>17</xdr:col>
      <xdr:colOff>138113</xdr:colOff>
      <xdr:row>27</xdr:row>
      <xdr:rowOff>142875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28</xdr:row>
      <xdr:rowOff>81525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204788</xdr:colOff>
      <xdr:row>24</xdr:row>
      <xdr:rowOff>166688</xdr:rowOff>
    </xdr:to>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428624</xdr:colOff>
      <xdr:row>5</xdr:row>
      <xdr:rowOff>466725</xdr:rowOff>
    </xdr:from>
    <xdr:to>
      <xdr:col>25</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66676</xdr:colOff>
      <xdr:row>28</xdr:row>
      <xdr:rowOff>166688</xdr:rowOff>
    </xdr:to>
    <xdr:graphicFrame macro="">
      <xdr:nvGraphicFramePr>
        <xdr:cNvPr id="2" name="Diagra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31</xdr:row>
      <xdr:rowOff>42863</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13</xdr:col>
      <xdr:colOff>247650</xdr:colOff>
      <xdr:row>25</xdr:row>
      <xdr:rowOff>147638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0</xdr:rowOff>
    </xdr:from>
    <xdr:to>
      <xdr:col>19</xdr:col>
      <xdr:colOff>9525</xdr:colOff>
      <xdr:row>26</xdr:row>
      <xdr:rowOff>23813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100013</xdr:colOff>
      <xdr:row>22</xdr:row>
      <xdr:rowOff>104775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285749</xdr:colOff>
      <xdr:row>7</xdr:row>
      <xdr:rowOff>9530</xdr:rowOff>
    </xdr:from>
    <xdr:to>
      <xdr:col>19</xdr:col>
      <xdr:colOff>0</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895349</xdr:colOff>
      <xdr:row>6</xdr:row>
      <xdr:rowOff>0</xdr:rowOff>
    </xdr:from>
    <xdr:to>
      <xdr:col>22</xdr:col>
      <xdr:colOff>114300</xdr:colOff>
      <xdr:row>31</xdr:row>
      <xdr:rowOff>61914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6</xdr:row>
      <xdr:rowOff>0</xdr:rowOff>
    </xdr:from>
    <xdr:to>
      <xdr:col>33</xdr:col>
      <xdr:colOff>119063</xdr:colOff>
      <xdr:row>27</xdr:row>
      <xdr:rowOff>61914</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476250</xdr:colOff>
      <xdr:row>6</xdr:row>
      <xdr:rowOff>66675</xdr:rowOff>
    </xdr:from>
    <xdr:to>
      <xdr:col>19</xdr:col>
      <xdr:colOff>390525</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6</xdr:row>
      <xdr:rowOff>0</xdr:rowOff>
    </xdr:from>
    <xdr:to>
      <xdr:col>16</xdr:col>
      <xdr:colOff>400051</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0</xdr:colOff>
      <xdr:row>6</xdr:row>
      <xdr:rowOff>0</xdr:rowOff>
    </xdr:from>
    <xdr:to>
      <xdr:col>21</xdr:col>
      <xdr:colOff>590550</xdr:colOff>
      <xdr:row>35</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6</xdr:row>
      <xdr:rowOff>0</xdr:rowOff>
    </xdr:from>
    <xdr:to>
      <xdr:col>13</xdr:col>
      <xdr:colOff>304800</xdr:colOff>
      <xdr:row>23</xdr:row>
      <xdr:rowOff>38099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0</xdr:colOff>
      <xdr:row>6</xdr:row>
      <xdr:rowOff>0</xdr:rowOff>
    </xdr:from>
    <xdr:to>
      <xdr:col>19</xdr:col>
      <xdr:colOff>304800</xdr:colOff>
      <xdr:row>22</xdr:row>
      <xdr:rowOff>185737</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609599</xdr:colOff>
      <xdr:row>7</xdr:row>
      <xdr:rowOff>123825</xdr:rowOff>
    </xdr:from>
    <xdr:to>
      <xdr:col>22</xdr:col>
      <xdr:colOff>542924</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xdr:colOff>
      <xdr:row>7</xdr:row>
      <xdr:rowOff>66675</xdr:rowOff>
    </xdr:from>
    <xdr:to>
      <xdr:col>24</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514350</xdr:colOff>
      <xdr:row>33</xdr:row>
      <xdr:rowOff>190500</xdr:rowOff>
    </xdr:from>
    <xdr:to>
      <xdr:col>21</xdr:col>
      <xdr:colOff>209551</xdr:colOff>
      <xdr:row>58</xdr:row>
      <xdr:rowOff>4762</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571500</xdr:colOff>
      <xdr:row>6</xdr:row>
      <xdr:rowOff>114300</xdr:rowOff>
    </xdr:from>
    <xdr:to>
      <xdr:col>16</xdr:col>
      <xdr:colOff>23813</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lista" displayName="lista" ref="A1:C239" totalsRowShown="0" headerRowDxfId="792" dataDxfId="791" headerRowCellStyle="Normal 10" dataCellStyle="Normal 10">
  <autoFilter ref="A1:C239"/>
  <tableColumns count="3">
    <tableColumn id="1" name="ID" dataDxfId="790" dataCellStyle="Normal 10"/>
    <tableColumn id="2" name="Svenska" dataDxfId="789" dataCellStyle="Normal 10"/>
    <tableColumn id="3" name="English" dataDxfId="788" dataCellStyle="Normal 10"/>
  </tableColumns>
  <tableStyleInfo name="TableStyleMedium21" showFirstColumn="0" showLastColumn="0" showRowStripes="1" showColumnStripes="0"/>
</table>
</file>

<file path=xl/tables/table10.xml><?xml version="1.0" encoding="utf-8"?>
<table xmlns="http://schemas.openxmlformats.org/spreadsheetml/2006/main" id="10" name="_3.2" displayName="_3.2" ref="F27:M29" totalsRowShown="0" headerRowDxfId="690" dataDxfId="688" headerRowBorderDxfId="689" tableBorderDxfId="687" headerRowCellStyle="Normal 10">
  <autoFilter ref="F27:M29"/>
  <tableColumns count="8">
    <tableColumn id="1" name="id" dataDxfId="686" dataCellStyle="Normal 10"/>
    <tableColumn id="2" name="1" dataDxfId="685"/>
    <tableColumn id="3" name="2" dataDxfId="684"/>
    <tableColumn id="4" name="3" dataDxfId="683"/>
    <tableColumn id="5" name="4" dataDxfId="682"/>
    <tableColumn id="6" name="5" dataDxfId="681"/>
    <tableColumn id="7" name="6" dataDxfId="680"/>
    <tableColumn id="8" name="7" dataDxfId="679"/>
  </tableColumns>
  <tableStyleInfo name="TableStyleLight1" showFirstColumn="0" showLastColumn="0" showRowStripes="1" showColumnStripes="0"/>
</table>
</file>

<file path=xl/tables/table11.xml><?xml version="1.0" encoding="utf-8"?>
<table xmlns="http://schemas.openxmlformats.org/spreadsheetml/2006/main" id="11" name="_3.6" displayName="_3.6" ref="F47:K49" totalsRowShown="0" headerRowDxfId="678" dataDxfId="676" headerRowBorderDxfId="677" tableBorderDxfId="675" headerRowCellStyle="Normal 10">
  <autoFilter ref="F47:K49"/>
  <tableColumns count="6">
    <tableColumn id="1" name="id" dataDxfId="674" dataCellStyle="Normal 10"/>
    <tableColumn id="2" name="1" dataDxfId="673"/>
    <tableColumn id="3" name="2" dataDxfId="672"/>
    <tableColumn id="4" name="3" dataDxfId="671"/>
    <tableColumn id="5" name="4" dataDxfId="670"/>
    <tableColumn id="6" name="5" dataDxfId="669"/>
  </tableColumns>
  <tableStyleInfo name="TableStyleLight1" showFirstColumn="0" showLastColumn="0" showRowStripes="1" showColumnStripes="0"/>
</table>
</file>

<file path=xl/tables/table12.xml><?xml version="1.0" encoding="utf-8"?>
<table xmlns="http://schemas.openxmlformats.org/spreadsheetml/2006/main" id="12" name="_4.1" displayName="_4.1" ref="F52:M54" totalsRowShown="0" headerRowDxfId="668" dataDxfId="666" headerRowBorderDxfId="667" tableBorderDxfId="665" headerRowCellStyle="Normal 10">
  <autoFilter ref="F52:M54"/>
  <tableColumns count="8">
    <tableColumn id="1" name="id" dataDxfId="664" dataCellStyle="Normal 10"/>
    <tableColumn id="2" name="1" dataDxfId="663"/>
    <tableColumn id="3" name="2" dataDxfId="662"/>
    <tableColumn id="4" name="3" dataDxfId="661"/>
    <tableColumn id="5" name="4" dataDxfId="660"/>
    <tableColumn id="6" name="5" dataDxfId="659"/>
    <tableColumn id="7" name="6" dataDxfId="658"/>
    <tableColumn id="8" name="7" dataDxfId="657"/>
  </tableColumns>
  <tableStyleInfo name="TableStyleLight1" showFirstColumn="0" showLastColumn="0" showRowStripes="1" showColumnStripes="0"/>
</table>
</file>

<file path=xl/tables/table13.xml><?xml version="1.0" encoding="utf-8"?>
<table xmlns="http://schemas.openxmlformats.org/spreadsheetml/2006/main" id="15" name="_4.4" displayName="_4.4" ref="F67:O69" totalsRowShown="0" headerRowDxfId="656" dataDxfId="654" headerRowBorderDxfId="655" tableBorderDxfId="653" headerRowCellStyle="Normal 10" dataCellStyle="Normal 10">
  <autoFilter ref="F67:O69"/>
  <tableColumns count="10">
    <tableColumn id="1" name="id" dataDxfId="652" dataCellStyle="Normal 10"/>
    <tableColumn id="2" name="1" dataDxfId="651" dataCellStyle="Normal 10"/>
    <tableColumn id="3" name="2" dataDxfId="650" dataCellStyle="Normal 10"/>
    <tableColumn id="4" name="3" dataDxfId="649" dataCellStyle="Normal 10"/>
    <tableColumn id="5" name="4" dataDxfId="648" dataCellStyle="Normal 10"/>
    <tableColumn id="6" name="5" dataDxfId="647" dataCellStyle="Normal 10"/>
    <tableColumn id="7" name="6" dataDxfId="646" dataCellStyle="Normal 10"/>
    <tableColumn id="8" name="7" dataDxfId="645" dataCellStyle="Normal 10"/>
    <tableColumn id="9" name="8" dataDxfId="644" dataCellStyle="Normal 10"/>
    <tableColumn id="10" name="9" dataDxfId="643" dataCellStyle="Normal 10"/>
  </tableColumns>
  <tableStyleInfo name="TableStyleLight1" showFirstColumn="0" showLastColumn="0" showRowStripes="1" showColumnStripes="0"/>
</table>
</file>

<file path=xl/tables/table14.xml><?xml version="1.0" encoding="utf-8"?>
<table xmlns="http://schemas.openxmlformats.org/spreadsheetml/2006/main" id="17" name="_4.6" displayName="_4.6" ref="F77:J79" totalsRowShown="0" headerRowDxfId="642" dataDxfId="640" headerRowBorderDxfId="641" tableBorderDxfId="639" headerRowCellStyle="Normal 10">
  <autoFilter ref="F77:J79"/>
  <tableColumns count="5">
    <tableColumn id="1" name="id" dataDxfId="638" dataCellStyle="Normal 10"/>
    <tableColumn id="2" name="1" dataDxfId="637"/>
    <tableColumn id="3" name="2" dataDxfId="636"/>
    <tableColumn id="4" name="3" dataDxfId="635"/>
    <tableColumn id="5" name="4" dataDxfId="634" dataCellStyle="Normal 10"/>
  </tableColumns>
  <tableStyleInfo name="TableStyleLight1" showFirstColumn="0" showLastColumn="0" showRowStripes="1" showColumnStripes="0"/>
</table>
</file>

<file path=xl/tables/table15.xml><?xml version="1.0" encoding="utf-8"?>
<table xmlns="http://schemas.openxmlformats.org/spreadsheetml/2006/main" id="18" name="_4.7" displayName="_4.7" ref="F82:L84" totalsRowShown="0" headerRowDxfId="633" dataDxfId="631" headerRowBorderDxfId="632" tableBorderDxfId="630" headerRowCellStyle="Normal 10">
  <autoFilter ref="F82:L84"/>
  <tableColumns count="7">
    <tableColumn id="1" name="id" dataDxfId="629" dataCellStyle="Normal 10"/>
    <tableColumn id="2" name="1" dataDxfId="628"/>
    <tableColumn id="3" name="2" dataDxfId="627"/>
    <tableColumn id="4" name="3" dataDxfId="626"/>
    <tableColumn id="5" name="4" dataDxfId="625"/>
    <tableColumn id="6" name="5" dataDxfId="624"/>
    <tableColumn id="7" name="6" dataDxfId="623"/>
  </tableColumns>
  <tableStyleInfo name="TableStyleLight1" showFirstColumn="0" showLastColumn="0" showRowStripes="1" showColumnStripes="0"/>
</table>
</file>

<file path=xl/tables/table16.xml><?xml version="1.0" encoding="utf-8"?>
<table xmlns="http://schemas.openxmlformats.org/spreadsheetml/2006/main" id="19" name="_5.1" displayName="_5.1" ref="F87:N89" totalsRowShown="0" headerRowDxfId="622" dataDxfId="620" headerRowBorderDxfId="621" tableBorderDxfId="619" headerRowCellStyle="Normal 10">
  <autoFilter ref="F87:N89"/>
  <tableColumns count="9">
    <tableColumn id="1" name="id" dataDxfId="618" dataCellStyle="Normal 10"/>
    <tableColumn id="2" name="1" dataDxfId="617"/>
    <tableColumn id="3" name="2" dataDxfId="616"/>
    <tableColumn id="4" name="3" dataDxfId="615"/>
    <tableColumn id="5" name="4" dataDxfId="614"/>
    <tableColumn id="6" name="5" dataDxfId="613"/>
    <tableColumn id="7" name="6" dataDxfId="612"/>
    <tableColumn id="8" name="7" dataDxfId="611"/>
    <tableColumn id="9" name="8" dataDxfId="610"/>
  </tableColumns>
  <tableStyleInfo name="TableStyleLight1" showFirstColumn="0" showLastColumn="0" showRowStripes="1" showColumnStripes="0"/>
</table>
</file>

<file path=xl/tables/table17.xml><?xml version="1.0" encoding="utf-8"?>
<table xmlns="http://schemas.openxmlformats.org/spreadsheetml/2006/main" id="20" name="_5.2" displayName="_5.2" ref="F92:J94" totalsRowShown="0" headerRowDxfId="609" dataDxfId="607" headerRowBorderDxfId="608" tableBorderDxfId="606" headerRowCellStyle="Normal 10">
  <autoFilter ref="F92:J94"/>
  <tableColumns count="5">
    <tableColumn id="1" name="id" dataDxfId="605" dataCellStyle="Normal 10"/>
    <tableColumn id="2" name="1" dataDxfId="604"/>
    <tableColumn id="3" name="2" dataDxfId="603"/>
    <tableColumn id="4" name="3" dataDxfId="602"/>
    <tableColumn id="5" name="4" dataDxfId="601"/>
  </tableColumns>
  <tableStyleInfo name="TableStyleLight1" showFirstColumn="0" showLastColumn="0" showRowStripes="1" showColumnStripes="0"/>
</table>
</file>

<file path=xl/tables/table18.xml><?xml version="1.0" encoding="utf-8"?>
<table xmlns="http://schemas.openxmlformats.org/spreadsheetml/2006/main" id="21" name="_5.3" displayName="_5.3" ref="F97:J99" totalsRowShown="0" headerRowDxfId="600" dataDxfId="598" headerRowBorderDxfId="599" tableBorderDxfId="597" headerRowCellStyle="Normal 10">
  <autoFilter ref="F97:J99"/>
  <tableColumns count="5">
    <tableColumn id="1" name="id" dataDxfId="596" dataCellStyle="Normal 10"/>
    <tableColumn id="2" name="1" dataDxfId="595"/>
    <tableColumn id="3" name="2" dataDxfId="594"/>
    <tableColumn id="4" name="3" dataDxfId="593"/>
    <tableColumn id="5" name="4" dataDxfId="592"/>
  </tableColumns>
  <tableStyleInfo name="TableStyleLight1" showFirstColumn="0" showLastColumn="0" showRowStripes="1" showColumnStripes="0"/>
</table>
</file>

<file path=xl/tables/table19.xml><?xml version="1.0" encoding="utf-8"?>
<table xmlns="http://schemas.openxmlformats.org/spreadsheetml/2006/main" id="22" name="_5.4" displayName="_5.4" ref="F102:H104" totalsRowShown="0" headerRowDxfId="591" dataDxfId="589" headerRowBorderDxfId="590" tableBorderDxfId="588" headerRowCellStyle="Normal 10">
  <autoFilter ref="F102:H104"/>
  <tableColumns count="3">
    <tableColumn id="1" name="id" dataDxfId="587" dataCellStyle="Normal 10"/>
    <tableColumn id="2" name="1" dataDxfId="586"/>
    <tableColumn id="3" name="2" dataDxfId="585"/>
  </tableColumns>
  <tableStyleInfo name="TableStyleLight1" showFirstColumn="0" showLastColumn="0" showRowStripes="1" showColumnStripes="0"/>
</table>
</file>

<file path=xl/tables/table2.xml><?xml version="1.0" encoding="utf-8"?>
<table xmlns="http://schemas.openxmlformats.org/spreadsheetml/2006/main" id="2" name="_1.2" displayName="_1.2" ref="F2:R4" totalsRowShown="0" headerRowDxfId="787" dataDxfId="786" headerRowCellStyle="Normal 10">
  <autoFilter ref="F2:R4"/>
  <tableColumns count="13">
    <tableColumn id="1" name="id" dataDxfId="785" dataCellStyle="Normal 10">
      <calculatedColumnFormula>lista[[#Headers],[English]]</calculatedColumnFormula>
    </tableColumn>
    <tableColumn id="2" name="1" dataDxfId="784"/>
    <tableColumn id="3" name="2" dataDxfId="783"/>
    <tableColumn id="4" name="3" dataDxfId="782"/>
    <tableColumn id="5" name="4" dataDxfId="781"/>
    <tableColumn id="6" name="5" dataDxfId="780"/>
    <tableColumn id="7" name="6" dataDxfId="779"/>
    <tableColumn id="8" name="7" dataDxfId="778"/>
    <tableColumn id="9" name="8" dataDxfId="777"/>
    <tableColumn id="10" name="9" dataDxfId="776"/>
    <tableColumn id="11" name="10" dataDxfId="775"/>
    <tableColumn id="12" name="11" dataDxfId="774"/>
    <tableColumn id="13" name="12" dataDxfId="773"/>
  </tableColumns>
  <tableStyleInfo name="TableStyleLight1" showFirstColumn="0" showLastColumn="0" showRowStripes="1" showColumnStripes="0"/>
</table>
</file>

<file path=xl/tables/table20.xml><?xml version="1.0" encoding="utf-8"?>
<table xmlns="http://schemas.openxmlformats.org/spreadsheetml/2006/main" id="23" name="_5.5" displayName="_5.5" ref="F107:I109" totalsRowShown="0" headerRowDxfId="584" dataDxfId="582" headerRowBorderDxfId="583" tableBorderDxfId="581" headerRowCellStyle="Normal 10">
  <autoFilter ref="F107:I109"/>
  <tableColumns count="4">
    <tableColumn id="1" name="id" dataDxfId="580" dataCellStyle="Normal 10"/>
    <tableColumn id="2" name="1" dataDxfId="579"/>
    <tableColumn id="3" name="2" dataDxfId="578"/>
    <tableColumn id="4" name="3" dataDxfId="577" dataCellStyle="Normal 10"/>
  </tableColumns>
  <tableStyleInfo name="TableStyleLight1" showFirstColumn="0" showLastColumn="0" showRowStripes="1" showColumnStripes="0"/>
</table>
</file>

<file path=xl/tables/table21.xml><?xml version="1.0" encoding="utf-8"?>
<table xmlns="http://schemas.openxmlformats.org/spreadsheetml/2006/main" id="24" name="_6.1" displayName="_6.1" ref="F112:K114" totalsRowShown="0" headerRowDxfId="576" dataDxfId="574" headerRowBorderDxfId="575" tableBorderDxfId="573" headerRowCellStyle="Normal 10">
  <autoFilter ref="F112:K114"/>
  <tableColumns count="6">
    <tableColumn id="1" name="id" dataDxfId="572" dataCellStyle="Normal 10"/>
    <tableColumn id="2" name="1" dataDxfId="571"/>
    <tableColumn id="3" name="2" dataDxfId="570"/>
    <tableColumn id="4" name="3" dataDxfId="569"/>
    <tableColumn id="5" name="4" dataDxfId="568"/>
    <tableColumn id="6" name="5" dataDxfId="567"/>
  </tableColumns>
  <tableStyleInfo name="TableStyleLight1" showFirstColumn="0" showLastColumn="0" showRowStripes="1" showColumnStripes="0"/>
</table>
</file>

<file path=xl/tables/table22.xml><?xml version="1.0" encoding="utf-8"?>
<table xmlns="http://schemas.openxmlformats.org/spreadsheetml/2006/main" id="25" name="_6.3" displayName="_6.3" ref="F122:K124" totalsRowShown="0" headerRowDxfId="566" dataDxfId="564" headerRowBorderDxfId="565" tableBorderDxfId="563" headerRowCellStyle="Normal 10">
  <autoFilter ref="F122:K124"/>
  <tableColumns count="6">
    <tableColumn id="1" name="id" dataDxfId="562" dataCellStyle="Normal 10"/>
    <tableColumn id="2" name="1" dataDxfId="561"/>
    <tableColumn id="3" name="2" dataDxfId="560"/>
    <tableColumn id="4" name="3" dataDxfId="559"/>
    <tableColumn id="5" name="4" dataDxfId="558"/>
    <tableColumn id="6" name="5" dataDxfId="557"/>
  </tableColumns>
  <tableStyleInfo name="TableStyleLight1" showFirstColumn="0" showLastColumn="0" showRowStripes="1" showColumnStripes="0"/>
</table>
</file>

<file path=xl/tables/table23.xml><?xml version="1.0" encoding="utf-8"?>
<table xmlns="http://schemas.openxmlformats.org/spreadsheetml/2006/main" id="26" name="_6.2" displayName="_6.2" ref="F117:N119" totalsRowShown="0" headerRowDxfId="556" dataDxfId="554" headerRowBorderDxfId="555" tableBorderDxfId="553" headerRowCellStyle="Normal 10">
  <autoFilter ref="F117:N119"/>
  <tableColumns count="9">
    <tableColumn id="1" name="id" dataDxfId="552" dataCellStyle="Normal 10"/>
    <tableColumn id="2" name="1" dataDxfId="551"/>
    <tableColumn id="3" name="2" dataDxfId="550"/>
    <tableColumn id="4" name="3" dataDxfId="549"/>
    <tableColumn id="5" name="4" dataDxfId="548"/>
    <tableColumn id="6" name="5" dataDxfId="547"/>
    <tableColumn id="7" name="6" dataDxfId="546"/>
    <tableColumn id="8" name="7" dataDxfId="545"/>
    <tableColumn id="9" name="8" dataDxfId="544"/>
  </tableColumns>
  <tableStyleInfo name="TableStyleLight1" showFirstColumn="0" showLastColumn="0" showRowStripes="1" showColumnStripes="0"/>
</table>
</file>

<file path=xl/tables/table24.xml><?xml version="1.0" encoding="utf-8"?>
<table xmlns="http://schemas.openxmlformats.org/spreadsheetml/2006/main" id="27" name="_6.4" displayName="_6.4" ref="F127:I129" totalsRowShown="0" headerRowDxfId="543" dataDxfId="541" headerRowBorderDxfId="542" tableBorderDxfId="540" headerRowCellStyle="Normal 10">
  <autoFilter ref="F127:I129"/>
  <tableColumns count="4">
    <tableColumn id="1" name="id" dataDxfId="539" dataCellStyle="Normal 10"/>
    <tableColumn id="2" name="1" dataDxfId="538"/>
    <tableColumn id="3" name="2" dataDxfId="537"/>
    <tableColumn id="4" name="3" dataDxfId="536"/>
  </tableColumns>
  <tableStyleInfo name="TableStyleLight1" showFirstColumn="0" showLastColumn="0" showRowStripes="1" showColumnStripes="0"/>
</table>
</file>

<file path=xl/tables/table25.xml><?xml version="1.0" encoding="utf-8"?>
<table xmlns="http://schemas.openxmlformats.org/spreadsheetml/2006/main" id="28" name="_6.5" displayName="_6.5" ref="F132:K134" totalsRowShown="0" headerRowDxfId="535" dataDxfId="533" headerRowBorderDxfId="534" tableBorderDxfId="532" headerRowCellStyle="Normal 10">
  <autoFilter ref="F132:K134"/>
  <tableColumns count="6">
    <tableColumn id="1" name="id" dataDxfId="531" dataCellStyle="Normal 10"/>
    <tableColumn id="2" name="1" dataDxfId="530"/>
    <tableColumn id="3" name="2" dataDxfId="529"/>
    <tableColumn id="4" name="3" dataDxfId="528"/>
    <tableColumn id="5" name="4" dataDxfId="527"/>
    <tableColumn id="6" name="5" dataDxfId="526"/>
  </tableColumns>
  <tableStyleInfo name="TableStyleLight1" showFirstColumn="0" showLastColumn="0" showRowStripes="1" showColumnStripes="0"/>
</table>
</file>

<file path=xl/tables/table26.xml><?xml version="1.0" encoding="utf-8"?>
<table xmlns="http://schemas.openxmlformats.org/spreadsheetml/2006/main" id="29" name="_6.6" displayName="_6.6" ref="F137:N139" totalsRowShown="0" headerRowDxfId="525" dataDxfId="523" headerRowBorderDxfId="524" tableBorderDxfId="522" headerRowCellStyle="Normal 10">
  <autoFilter ref="F137:N139"/>
  <tableColumns count="9">
    <tableColumn id="1" name="id" dataDxfId="521" dataCellStyle="Normal 10"/>
    <tableColumn id="2" name="1" dataDxfId="520"/>
    <tableColumn id="3" name="2" dataDxfId="519"/>
    <tableColumn id="4" name="3" dataDxfId="518"/>
    <tableColumn id="5" name="4" dataDxfId="517"/>
    <tableColumn id="6" name="5" dataDxfId="516"/>
    <tableColumn id="7" name="6" dataDxfId="515"/>
    <tableColumn id="8" name="7" dataDxfId="514" dataCellStyle="Normal 10"/>
    <tableColumn id="9" name="8" dataDxfId="513" dataCellStyle="Normal 10"/>
  </tableColumns>
  <tableStyleInfo name="TableStyleLight1" showFirstColumn="0" showLastColumn="0" showRowStripes="1" showColumnStripes="0"/>
</table>
</file>

<file path=xl/tables/table27.xml><?xml version="1.0" encoding="utf-8"?>
<table xmlns="http://schemas.openxmlformats.org/spreadsheetml/2006/main" id="30" name="_6.7" displayName="_6.7" ref="F142:P144" totalsRowShown="0" headerRowDxfId="512" dataDxfId="510" headerRowBorderDxfId="511" tableBorderDxfId="509" headerRowCellStyle="Normal 10">
  <autoFilter ref="F142:P144"/>
  <tableColumns count="11">
    <tableColumn id="1" name="id" dataDxfId="508" dataCellStyle="Normal 10"/>
    <tableColumn id="2" name="1" dataDxfId="507"/>
    <tableColumn id="3" name="2" dataDxfId="506"/>
    <tableColumn id="4" name="3" dataDxfId="505"/>
    <tableColumn id="5" name="4" dataDxfId="504"/>
    <tableColumn id="6" name="5" dataDxfId="503"/>
    <tableColumn id="7" name="6" dataDxfId="502"/>
    <tableColumn id="8" name="7" dataDxfId="501" dataCellStyle="Normal 10"/>
    <tableColumn id="9" name="8" dataDxfId="500" dataCellStyle="Normal 10"/>
    <tableColumn id="19" name="9" dataDxfId="499" dataCellStyle="Normal 10"/>
    <tableColumn id="20" name="10" dataDxfId="498" dataCellStyle="Normal 10"/>
  </tableColumns>
  <tableStyleInfo name="TableStyleLight1" showFirstColumn="0" showLastColumn="0" showRowStripes="1" showColumnStripes="0"/>
</table>
</file>

<file path=xl/tables/table28.xml><?xml version="1.0" encoding="utf-8"?>
<table xmlns="http://schemas.openxmlformats.org/spreadsheetml/2006/main" id="31" name="_6.9" displayName="_6.9" ref="F152:J154" totalsRowShown="0" headerRowDxfId="497" dataDxfId="495" headerRowBorderDxfId="496" tableBorderDxfId="494" headerRowCellStyle="Normal 10">
  <autoFilter ref="F152:J154"/>
  <tableColumns count="5">
    <tableColumn id="1" name="id" dataDxfId="493" dataCellStyle="Normal 10"/>
    <tableColumn id="2" name="1" dataDxfId="492"/>
    <tableColumn id="3" name="2" dataDxfId="491"/>
    <tableColumn id="4" name="3" dataDxfId="490"/>
    <tableColumn id="5" name="4" dataDxfId="489"/>
  </tableColumns>
  <tableStyleInfo name="TableStyleLight1" showFirstColumn="0" showLastColumn="0" showRowStripes="1" showColumnStripes="0"/>
</table>
</file>

<file path=xl/tables/table29.xml><?xml version="1.0" encoding="utf-8"?>
<table xmlns="http://schemas.openxmlformats.org/spreadsheetml/2006/main" id="32" name="_6.8" displayName="_6.8" ref="F147:J149" totalsRowShown="0" headerRowDxfId="488" dataDxfId="486" headerRowBorderDxfId="487" tableBorderDxfId="485" headerRowCellStyle="Normal 10">
  <autoFilter ref="F147:J149"/>
  <tableColumns count="5">
    <tableColumn id="1" name="id" dataDxfId="484" dataCellStyle="Normal 10"/>
    <tableColumn id="2" name="1" dataDxfId="483"/>
    <tableColumn id="3" name="2" dataDxfId="482"/>
    <tableColumn id="4" name="3" dataDxfId="481"/>
    <tableColumn id="5" name="4" dataDxfId="480"/>
  </tableColumns>
  <tableStyleInfo name="TableStyleLight1" showFirstColumn="0" showLastColumn="0" showRowStripes="1" showColumnStripes="0"/>
</table>
</file>

<file path=xl/tables/table3.xml><?xml version="1.0" encoding="utf-8"?>
<table xmlns="http://schemas.openxmlformats.org/spreadsheetml/2006/main" id="3" name="_1.3" displayName="_1.3" ref="F7:K9" totalsRowShown="0" headerRowDxfId="772" dataDxfId="770" headerRowBorderDxfId="771" tableBorderDxfId="769" headerRowCellStyle="Normal 10">
  <autoFilter ref="F7:K9"/>
  <tableColumns count="6">
    <tableColumn id="1" name="id" dataDxfId="768" dataCellStyle="Normal 10"/>
    <tableColumn id="2" name="1" dataDxfId="767"/>
    <tableColumn id="3" name="2" dataDxfId="766"/>
    <tableColumn id="4" name="3" dataDxfId="765"/>
    <tableColumn id="5" name="4" dataDxfId="764"/>
    <tableColumn id="6" name="5" dataDxfId="763"/>
  </tableColumns>
  <tableStyleInfo name="TableStyleLight1" showFirstColumn="0" showLastColumn="0" showRowStripes="1" showColumnStripes="0"/>
</table>
</file>

<file path=xl/tables/table30.xml><?xml version="1.0" encoding="utf-8"?>
<table xmlns="http://schemas.openxmlformats.org/spreadsheetml/2006/main" id="33" name="_6.10" displayName="_6.10" ref="F157:L159" totalsRowShown="0" headerRowDxfId="479" dataDxfId="477" headerRowBorderDxfId="478" tableBorderDxfId="476" headerRowCellStyle="Normal 10">
  <autoFilter ref="F157:L159"/>
  <tableColumns count="7">
    <tableColumn id="1" name="id" dataDxfId="475" dataCellStyle="Normal 10"/>
    <tableColumn id="2" name="1" dataDxfId="474"/>
    <tableColumn id="3" name="2" dataDxfId="473"/>
    <tableColumn id="4" name="3" dataDxfId="472"/>
    <tableColumn id="5" name="4" dataDxfId="471"/>
    <tableColumn id="6" name="5" dataDxfId="470"/>
    <tableColumn id="7" name="6" dataDxfId="469"/>
  </tableColumns>
  <tableStyleInfo name="TableStyleLight1" showFirstColumn="0" showLastColumn="0" showRowStripes="1" showColumnStripes="0"/>
</table>
</file>

<file path=xl/tables/table31.xml><?xml version="1.0" encoding="utf-8"?>
<table xmlns="http://schemas.openxmlformats.org/spreadsheetml/2006/main" id="36" name="_6.11" displayName="_6.11" ref="F162:N164" totalsRowShown="0" headerRowDxfId="468" dataDxfId="467" headerRowCellStyle="Normal 10">
  <autoFilter ref="F162:N164"/>
  <tableColumns count="9">
    <tableColumn id="1" name="id" dataDxfId="466" dataCellStyle="Normal 10"/>
    <tableColumn id="2" name="1" dataDxfId="465"/>
    <tableColumn id="3" name="2" dataDxfId="464"/>
    <tableColumn id="4" name="3" dataDxfId="463"/>
    <tableColumn id="5" name="4" dataDxfId="462"/>
    <tableColumn id="6" name="5" dataDxfId="461"/>
    <tableColumn id="13" name="6" dataDxfId="460"/>
    <tableColumn id="14" name="7" dataDxfId="459"/>
    <tableColumn id="15" name="8" dataDxfId="458"/>
  </tableColumns>
  <tableStyleInfo name="TableStyleLight1" showFirstColumn="0" showLastColumn="0" showRowStripes="1" showColumnStripes="0"/>
</table>
</file>

<file path=xl/tables/table32.xml><?xml version="1.0" encoding="utf-8"?>
<table xmlns="http://schemas.openxmlformats.org/spreadsheetml/2006/main" id="38" name="_6.12" displayName="_6.12" ref="F167:N169" totalsRowShown="0" headerRowDxfId="457" dataDxfId="456" headerRowCellStyle="Normal 10">
  <autoFilter ref="F167:N169"/>
  <tableColumns count="9">
    <tableColumn id="1" name="id" dataDxfId="455" dataCellStyle="Normal 10"/>
    <tableColumn id="2" name="1" dataDxfId="454"/>
    <tableColumn id="3" name="2" dataDxfId="453"/>
    <tableColumn id="4" name="3" dataDxfId="452"/>
    <tableColumn id="5" name="4" dataDxfId="451"/>
    <tableColumn id="6" name="5" dataDxfId="450"/>
    <tableColumn id="7" name="6" dataDxfId="449"/>
    <tableColumn id="8" name="7" dataDxfId="448"/>
    <tableColumn id="9" name="8" dataDxfId="447"/>
  </tableColumns>
  <tableStyleInfo name="TableStyleLight1" showFirstColumn="0" showLastColumn="0" showRowStripes="1" showColumnStripes="0"/>
</table>
</file>

<file path=xl/tables/table33.xml><?xml version="1.0" encoding="utf-8"?>
<table xmlns="http://schemas.openxmlformats.org/spreadsheetml/2006/main" id="39" name="_6.13" displayName="_6.13" ref="F172:J174" totalsRowShown="0" headerRowDxfId="446" dataDxfId="444" headerRowBorderDxfId="445" tableBorderDxfId="443" headerRowCellStyle="Normal 10">
  <autoFilter ref="F172:J174"/>
  <tableColumns count="5">
    <tableColumn id="1" name="id" dataDxfId="442" dataCellStyle="Normal 10"/>
    <tableColumn id="2" name="1" dataDxfId="441"/>
    <tableColumn id="3" name="2" dataDxfId="440"/>
    <tableColumn id="4" name="3" dataDxfId="439"/>
    <tableColumn id="5" name="4" dataDxfId="438"/>
  </tableColumns>
  <tableStyleInfo name="TableStyleLight1" showFirstColumn="0" showLastColumn="0" showRowStripes="1" showColumnStripes="0"/>
</table>
</file>

<file path=xl/tables/table34.xml><?xml version="1.0" encoding="utf-8"?>
<table xmlns="http://schemas.openxmlformats.org/spreadsheetml/2006/main" id="40" name="_6.14" displayName="_6.14" ref="F177:I179" totalsRowShown="0" headerRowDxfId="437" dataDxfId="435" headerRowBorderDxfId="436" tableBorderDxfId="434" headerRowCellStyle="Normal 10">
  <autoFilter ref="F177:I179"/>
  <tableColumns count="4">
    <tableColumn id="1" name="id" dataDxfId="433" dataCellStyle="Normal 10"/>
    <tableColumn id="2" name="1" dataDxfId="432"/>
    <tableColumn id="3" name="2" dataDxfId="431"/>
    <tableColumn id="4" name="3" dataDxfId="430"/>
  </tableColumns>
  <tableStyleInfo name="TableStyleLight1" showFirstColumn="0" showLastColumn="0" showRowStripes="1" showColumnStripes="0"/>
</table>
</file>

<file path=xl/tables/table35.xml><?xml version="1.0" encoding="utf-8"?>
<table xmlns="http://schemas.openxmlformats.org/spreadsheetml/2006/main" id="41" name="_7.1" displayName="_7.1" ref="F182:I184" totalsRowShown="0" headerRowDxfId="429" dataDxfId="427" headerRowBorderDxfId="428" tableBorderDxfId="426" headerRowCellStyle="Normal 10">
  <autoFilter ref="F182:I184"/>
  <tableColumns count="4">
    <tableColumn id="1" name="id" dataDxfId="425" dataCellStyle="Normal 10"/>
    <tableColumn id="2" name="1" dataDxfId="424"/>
    <tableColumn id="3" name="2" dataDxfId="423"/>
    <tableColumn id="4" name="3" dataDxfId="422"/>
  </tableColumns>
  <tableStyleInfo name="TableStyleLight1" showFirstColumn="0" showLastColumn="0" showRowStripes="1" showColumnStripes="0"/>
</table>
</file>

<file path=xl/tables/table36.xml><?xml version="1.0" encoding="utf-8"?>
<table xmlns="http://schemas.openxmlformats.org/spreadsheetml/2006/main" id="42" name="_7.2" displayName="_7.2" ref="F187:N189" totalsRowShown="0" headerRowDxfId="421" dataDxfId="419" headerRowBorderDxfId="420" tableBorderDxfId="418" headerRowCellStyle="Normal 10">
  <autoFilter ref="F187:N189"/>
  <tableColumns count="9">
    <tableColumn id="1" name="id" dataDxfId="417" dataCellStyle="Normal 10"/>
    <tableColumn id="2" name="1" dataDxfId="416"/>
    <tableColumn id="3" name="2" dataDxfId="415"/>
    <tableColumn id="4" name="3" dataDxfId="414"/>
    <tableColumn id="5" name="4" dataDxfId="413"/>
    <tableColumn id="6" name="5" dataDxfId="412" dataCellStyle="Normal 10"/>
    <tableColumn id="7" name="6" dataDxfId="411" dataCellStyle="Normal 10"/>
    <tableColumn id="8" name="7" dataDxfId="410" dataCellStyle="Normal 10"/>
    <tableColumn id="9" name="8" dataDxfId="409" dataCellStyle="Normal 10"/>
  </tableColumns>
  <tableStyleInfo name="TableStyleLight1" showFirstColumn="0" showLastColumn="0" showRowStripes="1" showColumnStripes="0"/>
</table>
</file>

<file path=xl/tables/table37.xml><?xml version="1.0" encoding="utf-8"?>
<table xmlns="http://schemas.openxmlformats.org/spreadsheetml/2006/main" id="43" name="_7.3" displayName="_7.3" ref="F192:T194" totalsRowShown="0" headerRowDxfId="408" dataDxfId="406" headerRowBorderDxfId="407" tableBorderDxfId="405" headerRowCellStyle="Normal 10">
  <autoFilter ref="F192:T194"/>
  <tableColumns count="15">
    <tableColumn id="1" name="id" dataDxfId="404" dataCellStyle="Normal 10"/>
    <tableColumn id="2" name="1" dataDxfId="403"/>
    <tableColumn id="3" name="2" dataDxfId="402"/>
    <tableColumn id="4" name="3" dataDxfId="401"/>
    <tableColumn id="5" name="4" dataDxfId="400" dataCellStyle="Normal 10"/>
    <tableColumn id="6" name="5" dataDxfId="399" dataCellStyle="Normal 10"/>
    <tableColumn id="7" name="6" dataDxfId="398" dataCellStyle="Normal 10"/>
    <tableColumn id="8" name="7" dataDxfId="397" dataCellStyle="Normal 10"/>
    <tableColumn id="9" name="8" dataDxfId="396" dataCellStyle="Normal 10"/>
    <tableColumn id="10" name="9" dataDxfId="395" dataCellStyle="Normal 10"/>
    <tableColumn id="11" name="10" dataDxfId="394" dataCellStyle="Normal 10"/>
    <tableColumn id="12" name="11" dataDxfId="393" dataCellStyle="Normal 10"/>
    <tableColumn id="13" name="12" dataDxfId="392" dataCellStyle="Normal 10"/>
    <tableColumn id="14" name="13" dataDxfId="391" dataCellStyle="Normal 10"/>
    <tableColumn id="15" name="14" dataDxfId="390" dataCellStyle="Normal 10"/>
  </tableColumns>
  <tableStyleInfo name="TableStyleLight1" showFirstColumn="0" showLastColumn="0" showRowStripes="1" showColumnStripes="0"/>
</table>
</file>

<file path=xl/tables/table38.xml><?xml version="1.0" encoding="utf-8"?>
<table xmlns="http://schemas.openxmlformats.org/spreadsheetml/2006/main" id="44" name="_8.1" displayName="_8.1" ref="F197:K199" totalsRowShown="0" headerRowDxfId="389" dataDxfId="387" headerRowBorderDxfId="388" tableBorderDxfId="386" headerRowCellStyle="Normal 10">
  <autoFilter ref="F197:K199"/>
  <tableColumns count="6">
    <tableColumn id="1" name="id" dataDxfId="385" dataCellStyle="Normal 10"/>
    <tableColumn id="2" name="1" dataDxfId="384"/>
    <tableColumn id="3" name="2" dataDxfId="383"/>
    <tableColumn id="4" name="3" dataDxfId="382"/>
    <tableColumn id="5" name="4" dataDxfId="381" dataCellStyle="Normal 10"/>
    <tableColumn id="6" name="5" dataDxfId="380" dataCellStyle="Normal 10"/>
  </tableColumns>
  <tableStyleInfo name="TableStyleLight1" showFirstColumn="0" showLastColumn="0" showRowStripes="1" showColumnStripes="0"/>
</table>
</file>

<file path=xl/tables/table39.xml><?xml version="1.0" encoding="utf-8"?>
<table xmlns="http://schemas.openxmlformats.org/spreadsheetml/2006/main" id="45" name="_8.2" displayName="_8.2" ref="F202:Q204" totalsRowShown="0" headerRowDxfId="379" dataDxfId="377" headerRowBorderDxfId="378" tableBorderDxfId="376" headerRowCellStyle="Normal 10">
  <autoFilter ref="F202:Q204"/>
  <tableColumns count="12">
    <tableColumn id="1" name="id" dataDxfId="375" dataCellStyle="Normal 10"/>
    <tableColumn id="2" name="1" dataDxfId="374"/>
    <tableColumn id="3" name="2" dataDxfId="373"/>
    <tableColumn id="4" name="3" dataDxfId="372"/>
    <tableColumn id="5" name="4" dataDxfId="371" dataCellStyle="Normal 10"/>
    <tableColumn id="6" name="5" dataDxfId="370" dataCellStyle="Normal 10"/>
    <tableColumn id="7" name="6" dataDxfId="369" dataCellStyle="Normal 10"/>
    <tableColumn id="8" name="7" dataDxfId="368" dataCellStyle="Normal 10"/>
    <tableColumn id="9" name="8" dataDxfId="367" dataCellStyle="Normal 10"/>
    <tableColumn id="10" name="9" dataDxfId="366" dataCellStyle="Normal 10"/>
    <tableColumn id="11" name="10" dataDxfId="365" dataCellStyle="Normal 10"/>
    <tableColumn id="12" name="11" dataDxfId="364" dataCellStyle="Normal 10"/>
  </tableColumns>
  <tableStyleInfo name="TableStyleLight1" showFirstColumn="0" showLastColumn="0" showRowStripes="1" showColumnStripes="0"/>
</table>
</file>

<file path=xl/tables/table4.xml><?xml version="1.0" encoding="utf-8"?>
<table xmlns="http://schemas.openxmlformats.org/spreadsheetml/2006/main" id="4" name="_2.2" displayName="_2.2" ref="F17:I19" totalsRowShown="0" headerRowDxfId="762" dataDxfId="760" headerRowBorderDxfId="761" tableBorderDxfId="759" headerRowCellStyle="Normal 10">
  <autoFilter ref="F17:I19"/>
  <tableColumns count="4">
    <tableColumn id="1" name="id" dataDxfId="758" dataCellStyle="Normal 10"/>
    <tableColumn id="2" name="1" dataDxfId="757"/>
    <tableColumn id="3" name="2" dataDxfId="756"/>
    <tableColumn id="4" name="3" dataDxfId="755"/>
  </tableColumns>
  <tableStyleInfo name="TableStyleLight1" showFirstColumn="0" showLastColumn="0" showRowStripes="1" showColumnStripes="0"/>
</table>
</file>

<file path=xl/tables/table40.xml><?xml version="1.0" encoding="utf-8"?>
<table xmlns="http://schemas.openxmlformats.org/spreadsheetml/2006/main" id="46" name="_8.3" displayName="_8.3" ref="F207:H209" totalsRowShown="0" headerRowDxfId="363" dataDxfId="361" headerRowBorderDxfId="362" tableBorderDxfId="360" headerRowCellStyle="Normal 10">
  <autoFilter ref="F207:H209"/>
  <tableColumns count="3">
    <tableColumn id="1" name="id" dataDxfId="359" dataCellStyle="Normal 10">
      <calculatedColumnFormula>lista[[#Headers],[Svenska]]</calculatedColumnFormula>
    </tableColumn>
    <tableColumn id="2" name="1" dataDxfId="358"/>
    <tableColumn id="3" name="2" dataDxfId="357"/>
  </tableColumns>
  <tableStyleInfo name="TableStyleLight1" showFirstColumn="0" showLastColumn="0" showRowStripes="1" showColumnStripes="0"/>
</table>
</file>

<file path=xl/tables/table41.xml><?xml version="1.0" encoding="utf-8"?>
<table xmlns="http://schemas.openxmlformats.org/spreadsheetml/2006/main" id="47" name="_8.4" displayName="_8.4" ref="F212:P214" totalsRowShown="0" headerRowDxfId="356" dataDxfId="354" headerRowBorderDxfId="355" tableBorderDxfId="353" headerRowCellStyle="Normal 10">
  <autoFilter ref="F212:P214"/>
  <tableColumns count="11">
    <tableColumn id="1" name="id" dataDxfId="352" dataCellStyle="Normal 10"/>
    <tableColumn id="2" name="1" dataDxfId="351"/>
    <tableColumn id="3" name="2" dataDxfId="350"/>
    <tableColumn id="4" name="3" dataDxfId="349"/>
    <tableColumn id="5" name="4" dataDxfId="348" dataCellStyle="Normal 10"/>
    <tableColumn id="6" name="5" dataDxfId="347" dataCellStyle="Normal 10"/>
    <tableColumn id="7" name="6" dataDxfId="346" dataCellStyle="Normal 10"/>
    <tableColumn id="8" name="7" dataDxfId="345" dataCellStyle="Normal 10"/>
    <tableColumn id="9" name="8" dataDxfId="344" dataCellStyle="Normal 10"/>
    <tableColumn id="10" name="9" dataDxfId="343" dataCellStyle="Normal 10"/>
    <tableColumn id="11" name="10" dataDxfId="342" dataCellStyle="Normal 10"/>
  </tableColumns>
  <tableStyleInfo name="TableStyleLight1" showFirstColumn="0" showLastColumn="0" showRowStripes="1" showColumnStripes="0"/>
</table>
</file>

<file path=xl/tables/table42.xml><?xml version="1.0" encoding="utf-8"?>
<table xmlns="http://schemas.openxmlformats.org/spreadsheetml/2006/main" id="48" name="_8.5" displayName="_8.5" ref="F217:O219" totalsRowShown="0" headerRowDxfId="341" dataDxfId="339" headerRowBorderDxfId="340" tableBorderDxfId="338" headerRowCellStyle="Normal 10">
  <autoFilter ref="F217:O219"/>
  <tableColumns count="10">
    <tableColumn id="1" name="id" dataDxfId="337" dataCellStyle="Normal 10"/>
    <tableColumn id="2" name="1" dataDxfId="336"/>
    <tableColumn id="3" name="2" dataDxfId="335"/>
    <tableColumn id="4" name="3" dataDxfId="334"/>
    <tableColumn id="5" name="4" dataDxfId="333" dataCellStyle="Normal 10"/>
    <tableColumn id="6" name="5" dataDxfId="332" dataCellStyle="Normal 10"/>
    <tableColumn id="7" name="6" dataDxfId="331" dataCellStyle="Normal 10"/>
    <tableColumn id="8" name="7" dataDxfId="330" dataCellStyle="Normal 10"/>
    <tableColumn id="9" name="8" dataDxfId="329" dataCellStyle="Normal 10"/>
    <tableColumn id="10" name="9" dataDxfId="328" dataCellStyle="Normal 10"/>
  </tableColumns>
  <tableStyleInfo name="TableStyleLight1" showFirstColumn="0" showLastColumn="0" showRowStripes="1" showColumnStripes="0"/>
</table>
</file>

<file path=xl/tables/table43.xml><?xml version="1.0" encoding="utf-8"?>
<table xmlns="http://schemas.openxmlformats.org/spreadsheetml/2006/main" id="49" name="_8.6" displayName="_8.6" ref="F222:R224" totalsRowShown="0" headerRowDxfId="327" dataDxfId="325" headerRowBorderDxfId="326" tableBorderDxfId="324" headerRowCellStyle="Normal 10">
  <autoFilter ref="F222:R224"/>
  <tableColumns count="13">
    <tableColumn id="1" name="id" dataDxfId="323" dataCellStyle="Normal 10"/>
    <tableColumn id="2" name="1" dataDxfId="322"/>
    <tableColumn id="3" name="2" dataDxfId="321"/>
    <tableColumn id="4" name="3" dataDxfId="320"/>
    <tableColumn id="5" name="4" dataDxfId="319" dataCellStyle="Normal 10"/>
    <tableColumn id="6" name="5" dataDxfId="318" dataCellStyle="Normal 10"/>
    <tableColumn id="7" name="6" dataDxfId="317" dataCellStyle="Normal 10"/>
    <tableColumn id="8" name="7" dataDxfId="316" dataCellStyle="Normal 10"/>
    <tableColumn id="9" name="8" dataDxfId="315" dataCellStyle="Normal 10"/>
    <tableColumn id="10" name="9" dataDxfId="314" dataCellStyle="Normal 10"/>
    <tableColumn id="11" name="10" dataDxfId="313" dataCellStyle="Normal 10"/>
    <tableColumn id="13" name="11" dataDxfId="312" dataCellStyle="Normal 10"/>
    <tableColumn id="12" name="12" dataDxfId="311" dataCellStyle="Normal 10"/>
  </tableColumns>
  <tableStyleInfo name="TableStyleLight1" showFirstColumn="0" showLastColumn="0" showRowStripes="1" showColumnStripes="0"/>
</table>
</file>

<file path=xl/tables/table44.xml><?xml version="1.0" encoding="utf-8"?>
<table xmlns="http://schemas.openxmlformats.org/spreadsheetml/2006/main" id="50" name="_8.7" displayName="_8.7" ref="F227:M229" totalsRowShown="0" headerRowDxfId="310" dataDxfId="308" headerRowBorderDxfId="309" tableBorderDxfId="307" headerRowCellStyle="Normal 10">
  <autoFilter ref="F227:M229"/>
  <tableColumns count="8">
    <tableColumn id="1" name="id" dataDxfId="306" dataCellStyle="Normal 10"/>
    <tableColumn id="2" name="1" dataDxfId="305"/>
    <tableColumn id="3" name="2" dataDxfId="304"/>
    <tableColumn id="4" name="3" dataDxfId="303"/>
    <tableColumn id="5" name="4" dataDxfId="302" dataCellStyle="Normal 10"/>
    <tableColumn id="6" name="5" dataDxfId="301" dataCellStyle="Normal 10"/>
    <tableColumn id="7" name="6" dataDxfId="300" dataCellStyle="Normal 10"/>
    <tableColumn id="8" name="7" dataDxfId="299" dataCellStyle="Normal 10"/>
  </tableColumns>
  <tableStyleInfo name="TableStyleLight1" showFirstColumn="0" showLastColumn="0" showRowStripes="1" showColumnStripes="0"/>
</table>
</file>

<file path=xl/tables/table45.xml><?xml version="1.0" encoding="utf-8"?>
<table xmlns="http://schemas.openxmlformats.org/spreadsheetml/2006/main" id="51" name="_8.8" displayName="_8.8" ref="F232:Q234" totalsRowShown="0" headerRowDxfId="298" dataDxfId="296" headerRowBorderDxfId="297" tableBorderDxfId="295" headerRowCellStyle="Normal 10">
  <autoFilter ref="F232:Q234"/>
  <tableColumns count="12">
    <tableColumn id="1" name="id" dataDxfId="294" dataCellStyle="Normal 10"/>
    <tableColumn id="2" name="1" dataDxfId="293"/>
    <tableColumn id="3" name="2" dataDxfId="292"/>
    <tableColumn id="4" name="3" dataDxfId="291"/>
    <tableColumn id="5" name="4" dataDxfId="290" dataCellStyle="Normal 10"/>
    <tableColumn id="6" name="5" dataDxfId="289" dataCellStyle="Normal 10"/>
    <tableColumn id="7" name="6" dataDxfId="288" dataCellStyle="Normal 10"/>
    <tableColumn id="8" name="7" dataDxfId="287" dataCellStyle="Normal 10"/>
    <tableColumn id="9" name="8" dataDxfId="286" dataCellStyle="Normal 10"/>
    <tableColumn id="10" name="9" dataDxfId="285" dataCellStyle="Normal 10"/>
    <tableColumn id="11" name="10" dataDxfId="284" dataCellStyle="Normal 10"/>
    <tableColumn id="12" name="11" dataDxfId="283" dataCellStyle="Normal 10"/>
  </tableColumns>
  <tableStyleInfo name="TableStyleLight1" showFirstColumn="0" showLastColumn="0" showRowStripes="1" showColumnStripes="0"/>
</table>
</file>

<file path=xl/tables/table46.xml><?xml version="1.0" encoding="utf-8"?>
<table xmlns="http://schemas.openxmlformats.org/spreadsheetml/2006/main" id="52" name="_8.9" displayName="_8.9" ref="F237:L239" totalsRowShown="0" headerRowDxfId="282" dataDxfId="280" headerRowBorderDxfId="281" tableBorderDxfId="279" headerRowCellStyle="Normal 10">
  <autoFilter ref="F237:L239"/>
  <tableColumns count="7">
    <tableColumn id="1" name="id" dataDxfId="278" dataCellStyle="Normal 10"/>
    <tableColumn id="2" name="1" dataDxfId="277"/>
    <tableColumn id="3" name="2" dataDxfId="276"/>
    <tableColumn id="4" name="3" dataDxfId="275"/>
    <tableColumn id="5" name="4" dataDxfId="274" dataCellStyle="Normal 10"/>
    <tableColumn id="6" name="5" dataDxfId="273" dataCellStyle="Normal 10"/>
    <tableColumn id="8" name="6" dataDxfId="272"/>
  </tableColumns>
  <tableStyleInfo name="TableStyleLight1" showFirstColumn="0" showLastColumn="0" showRowStripes="1" showColumnStripes="0"/>
</table>
</file>

<file path=xl/tables/table47.xml><?xml version="1.0" encoding="utf-8"?>
<table xmlns="http://schemas.openxmlformats.org/spreadsheetml/2006/main" id="53" name="_8.10" displayName="_8.10" ref="F242:I244" totalsRowShown="0" headerRowDxfId="271" dataDxfId="269" headerRowBorderDxfId="270" tableBorderDxfId="268" headerRowCellStyle="Normal 10">
  <autoFilter ref="F242:I244"/>
  <tableColumns count="4">
    <tableColumn id="1" name="id" dataDxfId="267" dataCellStyle="Normal 10"/>
    <tableColumn id="2" name="1" dataDxfId="266"/>
    <tableColumn id="3" name="2" dataDxfId="265"/>
    <tableColumn id="4" name="3" dataDxfId="264"/>
  </tableColumns>
  <tableStyleInfo name="TableStyleLight1" showFirstColumn="0" showLastColumn="0" showRowStripes="1" showColumnStripes="0"/>
</table>
</file>

<file path=xl/tables/table48.xml><?xml version="1.0" encoding="utf-8"?>
<table xmlns="http://schemas.openxmlformats.org/spreadsheetml/2006/main" id="54" name="_8.11" displayName="_8.11" ref="F247:K249" totalsRowShown="0" headerRowDxfId="263" dataDxfId="261" headerRowBorderDxfId="262" tableBorderDxfId="260" headerRowCellStyle="Normal 10">
  <autoFilter ref="F247:K249"/>
  <tableColumns count="6">
    <tableColumn id="1" name="id" dataDxfId="259" dataCellStyle="Normal 10"/>
    <tableColumn id="2" name="1" dataDxfId="258"/>
    <tableColumn id="3" name="2" dataDxfId="257"/>
    <tableColumn id="4" name="3" dataDxfId="256"/>
    <tableColumn id="5" name="4" dataDxfId="255" dataCellStyle="Normal 10"/>
    <tableColumn id="6" name="5" dataDxfId="254" dataCellStyle="Normal 10"/>
  </tableColumns>
  <tableStyleInfo name="TableStyleLight1" showFirstColumn="0" showLastColumn="0" showRowStripes="1" showColumnStripes="0"/>
</table>
</file>

<file path=xl/tables/table49.xml><?xml version="1.0" encoding="utf-8"?>
<table xmlns="http://schemas.openxmlformats.org/spreadsheetml/2006/main" id="55" name="_9.1" displayName="_9.1" ref="F252:M254" totalsRowShown="0" headerRowDxfId="253" dataDxfId="251" headerRowBorderDxfId="252" tableBorderDxfId="250" headerRowCellStyle="Normal 10">
  <autoFilter ref="F252:M254"/>
  <tableColumns count="8">
    <tableColumn id="1" name="id" dataDxfId="249" dataCellStyle="Normal 10"/>
    <tableColumn id="2" name="1" dataDxfId="248"/>
    <tableColumn id="3" name="2" dataDxfId="247"/>
    <tableColumn id="4" name="3" dataDxfId="246"/>
    <tableColumn id="5" name="4" dataDxfId="245" dataCellStyle="Normal 10"/>
    <tableColumn id="6" name="5" dataDxfId="244" dataCellStyle="Normal 10"/>
    <tableColumn id="7" name="6" dataDxfId="243" dataCellStyle="Normal 10"/>
    <tableColumn id="8" name="7" dataDxfId="242" dataCellStyle="Normal 10"/>
  </tableColumns>
  <tableStyleInfo name="TableStyleLight1" showFirstColumn="0" showLastColumn="0" showRowStripes="1" showColumnStripes="0"/>
</table>
</file>

<file path=xl/tables/table5.xml><?xml version="1.0" encoding="utf-8"?>
<table xmlns="http://schemas.openxmlformats.org/spreadsheetml/2006/main" id="5" name="_2.1" displayName="_2.1" ref="F12:M14" totalsRowShown="0" headerRowDxfId="754" dataDxfId="752" headerRowBorderDxfId="753" tableBorderDxfId="751" headerRowCellStyle="Normal 10">
  <autoFilter ref="F12:M14"/>
  <tableColumns count="8">
    <tableColumn id="1" name="id" dataDxfId="750" dataCellStyle="Normal 10"/>
    <tableColumn id="2" name="1" dataDxfId="749"/>
    <tableColumn id="3" name="2" dataDxfId="748"/>
    <tableColumn id="4" name="3" dataDxfId="747"/>
    <tableColumn id="5" name="4" dataDxfId="746"/>
    <tableColumn id="6" name="5" dataDxfId="745"/>
    <tableColumn id="7" name="6" dataDxfId="744"/>
    <tableColumn id="8" name="7" dataDxfId="743"/>
  </tableColumns>
  <tableStyleInfo name="TableStyleLight1" showFirstColumn="0" showLastColumn="0" showRowStripes="1" showColumnStripes="0"/>
</table>
</file>

<file path=xl/tables/table50.xml><?xml version="1.0" encoding="utf-8"?>
<table xmlns="http://schemas.openxmlformats.org/spreadsheetml/2006/main" id="56" name="_9.2" displayName="_9.2" ref="F257:M259" totalsRowShown="0" headerRowDxfId="241" dataDxfId="239" headerRowBorderDxfId="240" tableBorderDxfId="238" headerRowCellStyle="Normal 10">
  <autoFilter ref="F257:M259"/>
  <tableColumns count="8">
    <tableColumn id="1" name="id" dataDxfId="237" dataCellStyle="Normal 10"/>
    <tableColumn id="2" name="1" dataDxfId="236"/>
    <tableColumn id="3" name="2" dataDxfId="235"/>
    <tableColumn id="4" name="3" dataDxfId="234"/>
    <tableColumn id="5" name="4" dataDxfId="233" dataCellStyle="Normal 10"/>
    <tableColumn id="6" name="5" dataDxfId="232" dataCellStyle="Normal 10"/>
    <tableColumn id="7" name="6" dataDxfId="231" dataCellStyle="Normal 10"/>
    <tableColumn id="8" name="7" dataDxfId="230" dataCellStyle="Normal 10"/>
  </tableColumns>
  <tableStyleInfo name="TableStyleLight1" showFirstColumn="0" showLastColumn="0" showRowStripes="1" showColumnStripes="0"/>
</table>
</file>

<file path=xl/tables/table51.xml><?xml version="1.0" encoding="utf-8"?>
<table xmlns="http://schemas.openxmlformats.org/spreadsheetml/2006/main" id="57" name="_9.3" displayName="_9.3" ref="F262:J264" totalsRowShown="0" headerRowDxfId="229" dataDxfId="227" headerRowBorderDxfId="228" tableBorderDxfId="226" headerRowCellStyle="Normal 10">
  <autoFilter ref="F262:J264"/>
  <tableColumns count="5">
    <tableColumn id="1" name="id" dataDxfId="225" dataCellStyle="Normal 10"/>
    <tableColumn id="2" name="1" dataDxfId="224"/>
    <tableColumn id="3" name="2" dataDxfId="223"/>
    <tableColumn id="4" name="3" dataDxfId="222"/>
    <tableColumn id="5" name="4" dataDxfId="221" dataCellStyle="Normal 10"/>
  </tableColumns>
  <tableStyleInfo name="TableStyleLight1" showFirstColumn="0" showLastColumn="0" showRowStripes="1" showColumnStripes="0"/>
</table>
</file>

<file path=xl/tables/table52.xml><?xml version="1.0" encoding="utf-8"?>
<table xmlns="http://schemas.openxmlformats.org/spreadsheetml/2006/main" id="58" name="_9.4" displayName="_9.4" ref="F267:L269" totalsRowShown="0" headerRowDxfId="220" dataDxfId="218" headerRowBorderDxfId="219" tableBorderDxfId="217" headerRowCellStyle="Normal 10">
  <autoFilter ref="F267:L269"/>
  <tableColumns count="7">
    <tableColumn id="1" name="id" dataDxfId="216" dataCellStyle="Normal 10"/>
    <tableColumn id="2" name="1" dataDxfId="215"/>
    <tableColumn id="3" name="2" dataDxfId="214"/>
    <tableColumn id="4" name="3" dataDxfId="213"/>
    <tableColumn id="5" name="4" dataDxfId="212" dataCellStyle="Normal 10"/>
    <tableColumn id="6" name="5" dataDxfId="211" dataCellStyle="Normal 10"/>
    <tableColumn id="7" name="6" dataDxfId="210" dataCellStyle="Normal 10"/>
  </tableColumns>
  <tableStyleInfo name="TableStyleLight1" showFirstColumn="0" showLastColumn="0" showRowStripes="1" showColumnStripes="0"/>
</table>
</file>

<file path=xl/tables/table53.xml><?xml version="1.0" encoding="utf-8"?>
<table xmlns="http://schemas.openxmlformats.org/spreadsheetml/2006/main" id="59" name="_9.5" displayName="_9.5" ref="F272:L274" totalsRowShown="0" headerRowDxfId="209" dataDxfId="207" headerRowBorderDxfId="208" tableBorderDxfId="206" headerRowCellStyle="Normal 10">
  <autoFilter ref="F272:L274"/>
  <tableColumns count="7">
    <tableColumn id="1" name="id" dataDxfId="205" dataCellStyle="Normal 10"/>
    <tableColumn id="2" name="1" dataDxfId="204"/>
    <tableColumn id="3" name="2" dataDxfId="203"/>
    <tableColumn id="4" name="3" dataDxfId="202"/>
    <tableColumn id="5" name="4" dataDxfId="201" dataCellStyle="Normal 10"/>
    <tableColumn id="6" name="5" dataDxfId="200" dataCellStyle="Normal 10"/>
    <tableColumn id="7" name="6" dataDxfId="199" dataCellStyle="Normal 10"/>
  </tableColumns>
  <tableStyleInfo name="TableStyleLight1" showFirstColumn="0" showLastColumn="0" showRowStripes="1" showColumnStripes="0"/>
</table>
</file>

<file path=xl/tables/table54.xml><?xml version="1.0" encoding="utf-8"?>
<table xmlns="http://schemas.openxmlformats.org/spreadsheetml/2006/main" id="60" name="_9.6" displayName="_9.6" ref="F277:I279" totalsRowShown="0" headerRowDxfId="198" dataDxfId="196" headerRowBorderDxfId="197" tableBorderDxfId="195" headerRowCellStyle="Normal 10">
  <autoFilter ref="F277:I279"/>
  <tableColumns count="4">
    <tableColumn id="1" name="id" dataDxfId="194" dataCellStyle="Normal 10"/>
    <tableColumn id="2" name="1" dataDxfId="193"/>
    <tableColumn id="3" name="2" dataDxfId="192"/>
    <tableColumn id="4" name="3" dataDxfId="191"/>
  </tableColumns>
  <tableStyleInfo name="TableStyleLight1" showFirstColumn="0" showLastColumn="0" showRowStripes="1" showColumnStripes="0"/>
</table>
</file>

<file path=xl/tables/table55.xml><?xml version="1.0" encoding="utf-8"?>
<table xmlns="http://schemas.openxmlformats.org/spreadsheetml/2006/main" id="61" name="_10.1" displayName="_10.1" ref="F282:K284" totalsRowShown="0" headerRowDxfId="190" dataDxfId="188" headerRowBorderDxfId="189" tableBorderDxfId="187" headerRowCellStyle="Normal 10">
  <autoFilter ref="F282:K284"/>
  <tableColumns count="6">
    <tableColumn id="1" name="id" dataDxfId="186" dataCellStyle="Normal 10"/>
    <tableColumn id="2" name="1" dataDxfId="185"/>
    <tableColumn id="3" name="2" dataDxfId="184"/>
    <tableColumn id="4" name="3" dataDxfId="183"/>
    <tableColumn id="5" name="4" dataDxfId="182" dataCellStyle="Normal 10"/>
    <tableColumn id="6" name="5" dataDxfId="181" dataCellStyle="Normal 10"/>
  </tableColumns>
  <tableStyleInfo name="TableStyleLight1" showFirstColumn="0" showLastColumn="0" showRowStripes="1" showColumnStripes="0"/>
</table>
</file>

<file path=xl/tables/table56.xml><?xml version="1.0" encoding="utf-8"?>
<table xmlns="http://schemas.openxmlformats.org/spreadsheetml/2006/main" id="62" name="_10.2" displayName="_10.2" ref="F287:J289" totalsRowShown="0" headerRowDxfId="180" dataDxfId="178" headerRowBorderDxfId="179" tableBorderDxfId="177" headerRowCellStyle="Normal 10">
  <autoFilter ref="F287:J289"/>
  <tableColumns count="5">
    <tableColumn id="1" name="id" dataDxfId="176" dataCellStyle="Normal 10"/>
    <tableColumn id="2" name="1" dataDxfId="175"/>
    <tableColumn id="3" name="2" dataDxfId="174"/>
    <tableColumn id="4" name="3" dataDxfId="173"/>
    <tableColumn id="5" name="4" dataDxfId="172" dataCellStyle="Normal 10"/>
  </tableColumns>
  <tableStyleInfo name="TableStyleLight1" showFirstColumn="0" showLastColumn="0" showRowStripes="1" showColumnStripes="0"/>
</table>
</file>

<file path=xl/tables/table57.xml><?xml version="1.0" encoding="utf-8"?>
<table xmlns="http://schemas.openxmlformats.org/spreadsheetml/2006/main" id="63" name="_11.1" displayName="_11.1" ref="F292:J294" totalsRowShown="0" headerRowDxfId="171" dataDxfId="169" headerRowBorderDxfId="170" tableBorderDxfId="168" headerRowCellStyle="Normal 10">
  <autoFilter ref="F292:J294"/>
  <tableColumns count="5">
    <tableColumn id="1" name="id" dataDxfId="167" dataCellStyle="Normal 10"/>
    <tableColumn id="2" name="1" dataDxfId="166"/>
    <tableColumn id="3" name="2" dataDxfId="165"/>
    <tableColumn id="4" name="3" dataDxfId="164"/>
    <tableColumn id="5" name="4" dataDxfId="163" dataCellStyle="Normal 10"/>
  </tableColumns>
  <tableStyleInfo name="TableStyleLight1" showFirstColumn="0" showLastColumn="0" showRowStripes="1" showColumnStripes="0"/>
</table>
</file>

<file path=xl/tables/table58.xml><?xml version="1.0" encoding="utf-8"?>
<table xmlns="http://schemas.openxmlformats.org/spreadsheetml/2006/main" id="64" name="_11.2" displayName="_11.2" ref="F297:I299" totalsRowShown="0" headerRowDxfId="162" dataDxfId="160" headerRowBorderDxfId="161" tableBorderDxfId="159" headerRowCellStyle="Normal 10">
  <autoFilter ref="F297:I299"/>
  <tableColumns count="4">
    <tableColumn id="1" name="id" dataDxfId="158" dataCellStyle="Normal 10"/>
    <tableColumn id="2" name="1" dataDxfId="157"/>
    <tableColumn id="3" name="2" dataDxfId="156"/>
    <tableColumn id="4" name="3" dataDxfId="155"/>
  </tableColumns>
  <tableStyleInfo name="TableStyleLight1" showFirstColumn="0" showLastColumn="0" showRowStripes="1" showColumnStripes="0"/>
</table>
</file>

<file path=xl/tables/table59.xml><?xml version="1.0" encoding="utf-8"?>
<table xmlns="http://schemas.openxmlformats.org/spreadsheetml/2006/main" id="65" name="_12.1" displayName="_12.1" ref="F302:N304" totalsRowShown="0" headerRowDxfId="154" dataDxfId="152" headerRowBorderDxfId="153" tableBorderDxfId="151" headerRowCellStyle="Normal 10">
  <autoFilter ref="F302:N304"/>
  <tableColumns count="9">
    <tableColumn id="1" name="id" dataDxfId="150" dataCellStyle="Normal 10"/>
    <tableColumn id="2" name="1" dataDxfId="149"/>
    <tableColumn id="3" name="2" dataDxfId="148"/>
    <tableColumn id="4" name="3" dataDxfId="147"/>
    <tableColumn id="5" name="4" dataDxfId="146" dataCellStyle="Normal 10"/>
    <tableColumn id="6" name="5" dataDxfId="145" dataCellStyle="Normal 10"/>
    <tableColumn id="7" name="6" dataDxfId="144" dataCellStyle="Normal 10"/>
    <tableColumn id="8" name="7" dataDxfId="143" dataCellStyle="Normal 10"/>
    <tableColumn id="9" name="8" dataDxfId="142" dataCellStyle="Normal 10"/>
  </tableColumns>
  <tableStyleInfo name="TableStyleLight1" showFirstColumn="0" showLastColumn="0" showRowStripes="1" showColumnStripes="0"/>
</table>
</file>

<file path=xl/tables/table6.xml><?xml version="1.0" encoding="utf-8"?>
<table xmlns="http://schemas.openxmlformats.org/spreadsheetml/2006/main" id="6" name="_3.3" displayName="_3.3" ref="F32:I34" totalsRowShown="0" headerRowDxfId="742" dataDxfId="740" headerRowBorderDxfId="741" tableBorderDxfId="739" headerRowCellStyle="Normal 10">
  <autoFilter ref="F32:I34"/>
  <tableColumns count="4">
    <tableColumn id="1" name="id" dataDxfId="738" dataCellStyle="Normal 10"/>
    <tableColumn id="2" name="1" dataDxfId="737"/>
    <tableColumn id="3" name="2" dataDxfId="736"/>
    <tableColumn id="4" name="3" dataDxfId="735"/>
  </tableColumns>
  <tableStyleInfo name="TableStyleLight1" showFirstColumn="0" showLastColumn="0" showRowStripes="1" showColumnStripes="0"/>
</table>
</file>

<file path=xl/tables/table60.xml><?xml version="1.0" encoding="utf-8"?>
<table xmlns="http://schemas.openxmlformats.org/spreadsheetml/2006/main" id="66" name="_12.2" displayName="_12.2" ref="F307:I309" totalsRowShown="0" headerRowDxfId="141" dataDxfId="139" headerRowBorderDxfId="140" tableBorderDxfId="138" headerRowCellStyle="Normal 10">
  <autoFilter ref="F307:I309"/>
  <tableColumns count="4">
    <tableColumn id="1" name="id" dataDxfId="137" dataCellStyle="Normal 10"/>
    <tableColumn id="2" name="1" dataDxfId="136"/>
    <tableColumn id="3" name="2" dataDxfId="135"/>
    <tableColumn id="4" name="3" dataDxfId="134"/>
  </tableColumns>
  <tableStyleInfo name="TableStyleLight1" showFirstColumn="0" showLastColumn="0" showRowStripes="1" showColumnStripes="0"/>
</table>
</file>

<file path=xl/tables/table61.xml><?xml version="1.0" encoding="utf-8"?>
<table xmlns="http://schemas.openxmlformats.org/spreadsheetml/2006/main" id="69" name="_12.3" displayName="_12.3" ref="F312:O314" totalsRowShown="0" headerRowDxfId="133" dataDxfId="131" headerRowBorderDxfId="132" tableBorderDxfId="130" headerRowCellStyle="Normal 10">
  <autoFilter ref="F312:O314"/>
  <tableColumns count="10">
    <tableColumn id="1" name="id" dataDxfId="129" dataCellStyle="Normal 10"/>
    <tableColumn id="2" name="1" dataDxfId="128"/>
    <tableColumn id="3" name="2" dataDxfId="127"/>
    <tableColumn id="4" name="3" dataDxfId="126"/>
    <tableColumn id="5" name="4" dataDxfId="125" dataCellStyle="Normal 10"/>
    <tableColumn id="6" name="5" dataDxfId="124" dataCellStyle="Normal 10"/>
    <tableColumn id="7" name="6" dataDxfId="123" dataCellStyle="Normal 10"/>
    <tableColumn id="8" name="7" dataDxfId="122" dataCellStyle="Normal 10"/>
    <tableColumn id="9" name="8" dataDxfId="121" dataCellStyle="Normal 10"/>
    <tableColumn id="10" name="9" dataDxfId="120" dataCellStyle="Normal 10"/>
  </tableColumns>
  <tableStyleInfo name="TableStyleLight1" showFirstColumn="0" showLastColumn="0" showRowStripes="1" showColumnStripes="0"/>
</table>
</file>

<file path=xl/tables/table62.xml><?xml version="1.0" encoding="utf-8"?>
<table xmlns="http://schemas.openxmlformats.org/spreadsheetml/2006/main" id="70" name="_12.4" displayName="_12.4" ref="F317:P319" totalsRowShown="0" headerRowDxfId="119" dataDxfId="117" headerRowBorderDxfId="118" tableBorderDxfId="116" headerRowCellStyle="Normal 10">
  <autoFilter ref="F317:P319"/>
  <tableColumns count="11">
    <tableColumn id="1" name="id" dataDxfId="115" dataCellStyle="Normal 10"/>
    <tableColumn id="2" name="1" dataDxfId="114"/>
    <tableColumn id="3" name="2" dataDxfId="113"/>
    <tableColumn id="4" name="3" dataDxfId="112"/>
    <tableColumn id="5" name="4" dataDxfId="111" dataCellStyle="Normal 10"/>
    <tableColumn id="6" name="5" dataDxfId="110" dataCellStyle="Normal 10"/>
    <tableColumn id="7" name="6" dataDxfId="109" dataCellStyle="Normal 10"/>
    <tableColumn id="8" name="7" dataDxfId="108" dataCellStyle="Normal 10"/>
    <tableColumn id="9" name="8" dataDxfId="107" dataCellStyle="Normal 10"/>
    <tableColumn id="10" name="9" dataDxfId="106" dataCellStyle="Normal 10"/>
    <tableColumn id="11" name="10" dataDxfId="105" dataCellStyle="Normal 10"/>
  </tableColumns>
  <tableStyleInfo name="TableStyleLight1" showFirstColumn="0" showLastColumn="0" showRowStripes="1" showColumnStripes="0"/>
</table>
</file>

<file path=xl/tables/table63.xml><?xml version="1.0" encoding="utf-8"?>
<table xmlns="http://schemas.openxmlformats.org/spreadsheetml/2006/main" id="71" name="_12.5" displayName="_12.5" ref="F322:K324" totalsRowShown="0" headerRowDxfId="104" dataDxfId="102" headerRowBorderDxfId="103" tableBorderDxfId="101" headerRowCellStyle="Normal 10">
  <autoFilter ref="F322:K324"/>
  <tableColumns count="6">
    <tableColumn id="1" name="id" dataDxfId="100" dataCellStyle="Normal 10"/>
    <tableColumn id="2" name="1" dataDxfId="99"/>
    <tableColumn id="3" name="2" dataDxfId="98"/>
    <tableColumn id="4" name="3" dataDxfId="97"/>
    <tableColumn id="5" name="4" dataDxfId="96" dataCellStyle="Normal 10"/>
    <tableColumn id="6" name="5" dataDxfId="95" dataCellStyle="Normal 10"/>
  </tableColumns>
  <tableStyleInfo name="TableStyleLight1" showFirstColumn="0" showLastColumn="0" showRowStripes="1" showColumnStripes="0"/>
</table>
</file>

<file path=xl/tables/table64.xml><?xml version="1.0" encoding="utf-8"?>
<table xmlns="http://schemas.openxmlformats.org/spreadsheetml/2006/main" id="72" name="_12.6" displayName="_12.6" ref="F327:L329" totalsRowShown="0" headerRowDxfId="94" dataDxfId="92" headerRowBorderDxfId="93" tableBorderDxfId="91" headerRowCellStyle="Normal 10">
  <autoFilter ref="F327:L329"/>
  <tableColumns count="7">
    <tableColumn id="1" name="id" dataDxfId="90" dataCellStyle="Normal 10"/>
    <tableColumn id="2" name="1" dataDxfId="89"/>
    <tableColumn id="3" name="2" dataDxfId="88"/>
    <tableColumn id="4" name="3" dataDxfId="87"/>
    <tableColumn id="5" name="4" dataDxfId="86" dataCellStyle="Normal 10"/>
    <tableColumn id="6" name="5" dataDxfId="85" dataCellStyle="Normal 10"/>
    <tableColumn id="7" name="6" dataDxfId="84" dataCellStyle="Normal 10"/>
  </tableColumns>
  <tableStyleInfo name="TableStyleLight1" showFirstColumn="0" showLastColumn="0" showRowStripes="1" showColumnStripes="0"/>
</table>
</file>

<file path=xl/tables/table65.xml><?xml version="1.0" encoding="utf-8"?>
<table xmlns="http://schemas.openxmlformats.org/spreadsheetml/2006/main" id="73" name="_12.7" displayName="_12.7" ref="F332:L334" totalsRowShown="0" headerRowDxfId="83" dataDxfId="81" headerRowBorderDxfId="82" tableBorderDxfId="80" headerRowCellStyle="Normal 10">
  <autoFilter ref="F332:L334"/>
  <tableColumns count="7">
    <tableColumn id="1" name="id" dataDxfId="79" dataCellStyle="Normal 10"/>
    <tableColumn id="2" name="1" dataDxfId="78"/>
    <tableColumn id="3" name="2" dataDxfId="77"/>
    <tableColumn id="4" name="3" dataDxfId="76"/>
    <tableColumn id="5" name="4" dataDxfId="75" dataCellStyle="Normal 10"/>
    <tableColumn id="6" name="5" dataDxfId="74" dataCellStyle="Normal 10"/>
    <tableColumn id="7" name="6" dataDxfId="73" dataCellStyle="Normal 10"/>
  </tableColumns>
  <tableStyleInfo name="TableStyleLight1" showFirstColumn="0" showLastColumn="0" showRowStripes="1" showColumnStripes="0"/>
</table>
</file>

<file path=xl/tables/table66.xml><?xml version="1.0" encoding="utf-8"?>
<table xmlns="http://schemas.openxmlformats.org/spreadsheetml/2006/main" id="74" name="_13.1" displayName="_13.1" ref="F337:J339" totalsRowShown="0" headerRowDxfId="72" dataDxfId="70" headerRowBorderDxfId="71" tableBorderDxfId="69" headerRowCellStyle="Normal 10">
  <autoFilter ref="F337:J339"/>
  <tableColumns count="5">
    <tableColumn id="1" name="id" dataDxfId="68" dataCellStyle="Normal 10"/>
    <tableColumn id="2" name="1" dataDxfId="67"/>
    <tableColumn id="3" name="2" dataDxfId="66"/>
    <tableColumn id="4" name="3" dataDxfId="65"/>
    <tableColumn id="5" name="4" dataDxfId="64" dataCellStyle="Normal 10"/>
  </tableColumns>
  <tableStyleInfo name="TableStyleLight1" showFirstColumn="0" showLastColumn="0" showRowStripes="1" showColumnStripes="0"/>
</table>
</file>

<file path=xl/tables/table67.xml><?xml version="1.0" encoding="utf-8"?>
<table xmlns="http://schemas.openxmlformats.org/spreadsheetml/2006/main" id="75" name="_13.2" displayName="_13.2" ref="F342:L344" totalsRowShown="0" headerRowDxfId="63" dataDxfId="61" headerRowBorderDxfId="62" tableBorderDxfId="60" headerRowCellStyle="Normal 10">
  <autoFilter ref="F342:L344"/>
  <tableColumns count="7">
    <tableColumn id="1" name="id" dataDxfId="59" dataCellStyle="Normal 10"/>
    <tableColumn id="2" name="1" dataDxfId="58"/>
    <tableColumn id="3" name="2" dataDxfId="57"/>
    <tableColumn id="4" name="3" dataDxfId="56"/>
    <tableColumn id="5" name="4" dataDxfId="55" dataCellStyle="Normal 10"/>
    <tableColumn id="6" name="5" dataDxfId="54" dataCellStyle="Normal 10"/>
    <tableColumn id="7" name="6" dataDxfId="53" dataCellStyle="Normal 10"/>
  </tableColumns>
  <tableStyleInfo name="TableStyleLight1" showFirstColumn="0" showLastColumn="0" showRowStripes="1" showColumnStripes="0"/>
</table>
</file>

<file path=xl/tables/table68.xml><?xml version="1.0" encoding="utf-8"?>
<table xmlns="http://schemas.openxmlformats.org/spreadsheetml/2006/main" id="76" name="_13.2.1" displayName="_13.2.1" ref="F347:L349" totalsRowShown="0" headerRowDxfId="52" dataDxfId="50" headerRowBorderDxfId="51" tableBorderDxfId="49" headerRowCellStyle="Normal 10">
  <autoFilter ref="F347:L349"/>
  <tableColumns count="7">
    <tableColumn id="1" name=" " dataDxfId="48" dataCellStyle="Normal 10"/>
    <tableColumn id="2" name="1" dataDxfId="47"/>
    <tableColumn id="3" name="2" dataDxfId="46"/>
    <tableColumn id="4" name="3" dataDxfId="45"/>
    <tableColumn id="5" name="4" dataDxfId="44" dataCellStyle="Normal 10"/>
    <tableColumn id="6" name="5" dataDxfId="43" dataCellStyle="Normal 10"/>
    <tableColumn id="7" name="6" dataDxfId="42" dataCellStyle="Normal 10"/>
  </tableColumns>
  <tableStyleInfo name="TableStyleLight1" showFirstColumn="0" showLastColumn="0" showRowStripes="1" showColumnStripes="0"/>
</table>
</file>

<file path=xl/tables/table69.xml><?xml version="1.0" encoding="utf-8"?>
<table xmlns="http://schemas.openxmlformats.org/spreadsheetml/2006/main" id="78" name="_4.2" displayName="_4.2" ref="F57:O59" totalsRowShown="0" headerRowDxfId="41" dataDxfId="39" headerRowBorderDxfId="40" tableBorderDxfId="38" headerRowCellStyle="Normal 10">
  <autoFilter ref="F57:O59"/>
  <tableColumns count="10">
    <tableColumn id="1" name="id" dataDxfId="37" dataCellStyle="Normal 10"/>
    <tableColumn id="2" name="1" dataDxfId="36"/>
    <tableColumn id="3" name="2" dataDxfId="35"/>
    <tableColumn id="4" name="3" dataDxfId="34"/>
    <tableColumn id="5" name="4" dataDxfId="33"/>
    <tableColumn id="6" name="5" dataDxfId="32"/>
    <tableColumn id="7" name="6" dataDxfId="31"/>
    <tableColumn id="8" name="7" dataDxfId="30"/>
    <tableColumn id="9" name="8" dataDxfId="29"/>
    <tableColumn id="10" name="9" dataDxfId="28"/>
  </tableColumns>
  <tableStyleInfo name="TableStyleLight1" showFirstColumn="0" showLastColumn="0" showRowStripes="1" showColumnStripes="0"/>
</table>
</file>

<file path=xl/tables/table7.xml><?xml version="1.0" encoding="utf-8"?>
<table xmlns="http://schemas.openxmlformats.org/spreadsheetml/2006/main" id="7" name="_3.4" displayName="_3.4" ref="F37:AA39" totalsRowShown="0" headerRowDxfId="734" dataDxfId="733" headerRowCellStyle="Normal 10">
  <autoFilter ref="F37:AA39"/>
  <tableColumns count="22">
    <tableColumn id="1" name="id" dataDxfId="732" dataCellStyle="Normal 10">
      <calculatedColumnFormula>lista[[#Headers],[English]]</calculatedColumnFormula>
    </tableColumn>
    <tableColumn id="2" name="1" dataDxfId="731"/>
    <tableColumn id="3" name="2" dataDxfId="730"/>
    <tableColumn id="4" name="3" dataDxfId="729"/>
    <tableColumn id="5" name="4" dataDxfId="728"/>
    <tableColumn id="6" name="5" dataDxfId="727"/>
    <tableColumn id="7" name="6" dataDxfId="726"/>
    <tableColumn id="8" name="7" dataDxfId="725"/>
    <tableColumn id="9" name="8" dataDxfId="724"/>
    <tableColumn id="10" name="9" dataDxfId="723"/>
    <tableColumn id="11" name="10" dataDxfId="722"/>
    <tableColumn id="12" name="11" dataDxfId="721"/>
    <tableColumn id="13" name="12" dataDxfId="720"/>
    <tableColumn id="14" name="13" dataDxfId="719"/>
    <tableColumn id="15" name="14" dataDxfId="718"/>
    <tableColumn id="16" name="15" dataDxfId="717"/>
    <tableColumn id="17" name="16" dataDxfId="716"/>
    <tableColumn id="18" name="17" dataDxfId="715" dataCellStyle="Normal 10"/>
    <tableColumn id="19" name="18" dataDxfId="714" dataCellStyle="Normal 10"/>
    <tableColumn id="20" name="19" dataDxfId="713" dataCellStyle="Normal 10"/>
    <tableColumn id="21" name="20" dataDxfId="712" dataCellStyle="Normal 10"/>
    <tableColumn id="22" name="21" dataDxfId="711" dataCellStyle="Normal 10"/>
  </tableColumns>
  <tableStyleInfo name="TableStyleLight1" showFirstColumn="0" showLastColumn="0" showRowStripes="1" showColumnStripes="0"/>
</table>
</file>

<file path=xl/tables/table70.xml><?xml version="1.0" encoding="utf-8"?>
<table xmlns="http://schemas.openxmlformats.org/spreadsheetml/2006/main" id="79" name="_4.3" displayName="_4.3" ref="F62:O64" totalsRowShown="0" headerRowDxfId="27" dataDxfId="25" headerRowBorderDxfId="26" tableBorderDxfId="24" headerRowCellStyle="Normal 10">
  <autoFilter ref="F62:O64"/>
  <tableColumns count="10">
    <tableColumn id="1" name="id" dataDxfId="23" dataCellStyle="Normal 10"/>
    <tableColumn id="2" name="1" dataDxfId="22"/>
    <tableColumn id="3" name="2" dataDxfId="21"/>
    <tableColumn id="4" name="3" dataDxfId="20"/>
    <tableColumn id="5" name="4" dataDxfId="19"/>
    <tableColumn id="6" name="5" dataDxfId="18"/>
    <tableColumn id="7" name="6" dataDxfId="17"/>
    <tableColumn id="8" name="7" dataDxfId="16"/>
    <tableColumn id="9" name="8" dataDxfId="15"/>
    <tableColumn id="10" name="9" dataDxfId="14"/>
  </tableColumns>
  <tableStyleInfo name="TableStyleLight1" showFirstColumn="0" showLastColumn="0" showRowStripes="1" showColumnStripes="0"/>
</table>
</file>

<file path=xl/tables/table71.xml><?xml version="1.0" encoding="utf-8"?>
<table xmlns="http://schemas.openxmlformats.org/spreadsheetml/2006/main" id="82" name="_4.5" displayName="_4.5" ref="F72:O74" totalsRowShown="0" headerRowDxfId="13" dataDxfId="11" headerRowBorderDxfId="12" tableBorderDxfId="10" headerRowCellStyle="Normal 10" dataCellStyle="Normal 10">
  <autoFilter ref="F72:O74"/>
  <tableColumns count="10">
    <tableColumn id="1" name="id" dataDxfId="9" dataCellStyle="Normal 10"/>
    <tableColumn id="2" name="1" dataDxfId="8" dataCellStyle="Normal 10"/>
    <tableColumn id="3" name="2" dataDxfId="7" dataCellStyle="Normal 10"/>
    <tableColumn id="4" name="3" dataDxfId="6" dataCellStyle="Normal 10"/>
    <tableColumn id="5" name="4" dataDxfId="5" dataCellStyle="Normal 10"/>
    <tableColumn id="6" name="5" dataDxfId="4" dataCellStyle="Normal 10"/>
    <tableColumn id="7" name="6" dataDxfId="3" dataCellStyle="Normal 10"/>
    <tableColumn id="8" name="7" dataDxfId="2" dataCellStyle="Normal 10"/>
    <tableColumn id="9" name="8" dataDxfId="1" dataCellStyle="Normal 10"/>
    <tableColumn id="10" name="9" dataDxfId="0" dataCellStyle="Normal 10"/>
  </tableColumns>
  <tableStyleInfo name="TableStyleLight1" showFirstColumn="0" showLastColumn="0" showRowStripes="1" showColumnStripes="0"/>
</table>
</file>

<file path=xl/tables/table8.xml><?xml version="1.0" encoding="utf-8"?>
<table xmlns="http://schemas.openxmlformats.org/spreadsheetml/2006/main" id="8" name="_3.5" displayName="_3.5" ref="F42:I44" totalsRowShown="0" headerRowDxfId="710" dataDxfId="708" headerRowBorderDxfId="709" tableBorderDxfId="707" headerRowCellStyle="Normal 10">
  <autoFilter ref="F42:I44"/>
  <tableColumns count="4">
    <tableColumn id="1" name="id" dataDxfId="706" dataCellStyle="Normal 10"/>
    <tableColumn id="2" name="1" dataDxfId="705"/>
    <tableColumn id="3" name="2" dataDxfId="704"/>
    <tableColumn id="4" name="3" dataDxfId="703"/>
  </tableColumns>
  <tableStyleInfo name="TableStyleLight1" showFirstColumn="0" showLastColumn="0" showRowStripes="1" showColumnStripes="0"/>
</table>
</file>

<file path=xl/tables/table9.xml><?xml version="1.0" encoding="utf-8"?>
<table xmlns="http://schemas.openxmlformats.org/spreadsheetml/2006/main" id="9" name="_3.1" displayName="_3.1" ref="F22:M24" totalsRowShown="0" headerRowDxfId="702" dataDxfId="700" headerRowBorderDxfId="701" tableBorderDxfId="699" headerRowCellStyle="Normal 10">
  <autoFilter ref="F22:M24"/>
  <tableColumns count="8">
    <tableColumn id="1" name="id" dataDxfId="698" dataCellStyle="Normal 10"/>
    <tableColumn id="2" name="1" dataDxfId="697"/>
    <tableColumn id="3" name="2" dataDxfId="696"/>
    <tableColumn id="4" name="3" dataDxfId="695"/>
    <tableColumn id="5" name="4" dataDxfId="694"/>
    <tableColumn id="6" name="5" dataDxfId="693"/>
    <tableColumn id="7" name="6" dataDxfId="692"/>
    <tableColumn id="8" name="7" dataDxfId="691"/>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table" Target="../tables/table19.xml"/><Relationship Id="rId21" Type="http://schemas.openxmlformats.org/officeDocument/2006/relationships/table" Target="../tables/table14.xml"/><Relationship Id="rId42" Type="http://schemas.openxmlformats.org/officeDocument/2006/relationships/table" Target="../tables/table35.xml"/><Relationship Id="rId47" Type="http://schemas.openxmlformats.org/officeDocument/2006/relationships/table" Target="../tables/table40.xml"/><Relationship Id="rId63" Type="http://schemas.openxmlformats.org/officeDocument/2006/relationships/table" Target="../tables/table56.xml"/><Relationship Id="rId68" Type="http://schemas.openxmlformats.org/officeDocument/2006/relationships/table" Target="../tables/table61.xml"/><Relationship Id="rId16" Type="http://schemas.openxmlformats.org/officeDocument/2006/relationships/table" Target="../tables/table9.xml"/><Relationship Id="rId11" Type="http://schemas.openxmlformats.org/officeDocument/2006/relationships/table" Target="../tables/table4.xml"/><Relationship Id="rId24" Type="http://schemas.openxmlformats.org/officeDocument/2006/relationships/table" Target="../tables/table17.xml"/><Relationship Id="rId32" Type="http://schemas.openxmlformats.org/officeDocument/2006/relationships/table" Target="../tables/table25.xml"/><Relationship Id="rId37" Type="http://schemas.openxmlformats.org/officeDocument/2006/relationships/table" Target="../tables/table30.xml"/><Relationship Id="rId40" Type="http://schemas.openxmlformats.org/officeDocument/2006/relationships/table" Target="../tables/table33.xml"/><Relationship Id="rId45" Type="http://schemas.openxmlformats.org/officeDocument/2006/relationships/table" Target="../tables/table38.xml"/><Relationship Id="rId53" Type="http://schemas.openxmlformats.org/officeDocument/2006/relationships/table" Target="../tables/table46.xml"/><Relationship Id="rId58" Type="http://schemas.openxmlformats.org/officeDocument/2006/relationships/table" Target="../tables/table51.xml"/><Relationship Id="rId66" Type="http://schemas.openxmlformats.org/officeDocument/2006/relationships/table" Target="../tables/table59.xml"/><Relationship Id="rId74" Type="http://schemas.openxmlformats.org/officeDocument/2006/relationships/table" Target="../tables/table67.xml"/><Relationship Id="rId5" Type="http://schemas.openxmlformats.org/officeDocument/2006/relationships/hyperlink" Target="http://www.iea.org/statistics/" TargetMode="External"/><Relationship Id="rId61" Type="http://schemas.openxmlformats.org/officeDocument/2006/relationships/table" Target="../tables/table54.xml"/><Relationship Id="rId19" Type="http://schemas.openxmlformats.org/officeDocument/2006/relationships/table" Target="../tables/table12.xml"/><Relationship Id="rId14" Type="http://schemas.openxmlformats.org/officeDocument/2006/relationships/table" Target="../tables/table7.xml"/><Relationship Id="rId22" Type="http://schemas.openxmlformats.org/officeDocument/2006/relationships/table" Target="../tables/table15.xml"/><Relationship Id="rId27" Type="http://schemas.openxmlformats.org/officeDocument/2006/relationships/table" Target="../tables/table20.xml"/><Relationship Id="rId30" Type="http://schemas.openxmlformats.org/officeDocument/2006/relationships/table" Target="../tables/table23.xml"/><Relationship Id="rId35" Type="http://schemas.openxmlformats.org/officeDocument/2006/relationships/table" Target="../tables/table28.xml"/><Relationship Id="rId43" Type="http://schemas.openxmlformats.org/officeDocument/2006/relationships/table" Target="../tables/table36.xml"/><Relationship Id="rId48" Type="http://schemas.openxmlformats.org/officeDocument/2006/relationships/table" Target="../tables/table41.xml"/><Relationship Id="rId56" Type="http://schemas.openxmlformats.org/officeDocument/2006/relationships/table" Target="../tables/table49.xml"/><Relationship Id="rId64" Type="http://schemas.openxmlformats.org/officeDocument/2006/relationships/table" Target="../tables/table57.xml"/><Relationship Id="rId69" Type="http://schemas.openxmlformats.org/officeDocument/2006/relationships/table" Target="../tables/table62.xml"/><Relationship Id="rId77" Type="http://schemas.openxmlformats.org/officeDocument/2006/relationships/table" Target="../tables/table70.xml"/><Relationship Id="rId8" Type="http://schemas.openxmlformats.org/officeDocument/2006/relationships/table" Target="../tables/table1.xml"/><Relationship Id="rId51" Type="http://schemas.openxmlformats.org/officeDocument/2006/relationships/table" Target="../tables/table44.xml"/><Relationship Id="rId72" Type="http://schemas.openxmlformats.org/officeDocument/2006/relationships/table" Target="../tables/table65.xml"/><Relationship Id="rId3" Type="http://schemas.openxmlformats.org/officeDocument/2006/relationships/hyperlink" Target="http://www.scb.se/en/Finding-statistics/Statistics-by-subject-area/National-Accounts/National-Accounts/National-Accounts-quarterly-and-annual-estimates/" TargetMode="External"/><Relationship Id="rId12" Type="http://schemas.openxmlformats.org/officeDocument/2006/relationships/table" Target="../tables/table5.xml"/><Relationship Id="rId17" Type="http://schemas.openxmlformats.org/officeDocument/2006/relationships/table" Target="../tables/table10.xml"/><Relationship Id="rId25" Type="http://schemas.openxmlformats.org/officeDocument/2006/relationships/table" Target="../tables/table18.xml"/><Relationship Id="rId33" Type="http://schemas.openxmlformats.org/officeDocument/2006/relationships/table" Target="../tables/table26.xml"/><Relationship Id="rId38" Type="http://schemas.openxmlformats.org/officeDocument/2006/relationships/table" Target="../tables/table31.xml"/><Relationship Id="rId46" Type="http://schemas.openxmlformats.org/officeDocument/2006/relationships/table" Target="../tables/table39.xml"/><Relationship Id="rId59" Type="http://schemas.openxmlformats.org/officeDocument/2006/relationships/table" Target="../tables/table52.xml"/><Relationship Id="rId67" Type="http://schemas.openxmlformats.org/officeDocument/2006/relationships/table" Target="../tables/table60.xml"/><Relationship Id="rId20" Type="http://schemas.openxmlformats.org/officeDocument/2006/relationships/table" Target="../tables/table13.xml"/><Relationship Id="rId41" Type="http://schemas.openxmlformats.org/officeDocument/2006/relationships/table" Target="../tables/table34.xml"/><Relationship Id="rId54" Type="http://schemas.openxmlformats.org/officeDocument/2006/relationships/table" Target="../tables/table47.xml"/><Relationship Id="rId62" Type="http://schemas.openxmlformats.org/officeDocument/2006/relationships/table" Target="../tables/table55.xml"/><Relationship Id="rId70" Type="http://schemas.openxmlformats.org/officeDocument/2006/relationships/table" Target="../tables/table63.xml"/><Relationship Id="rId75" Type="http://schemas.openxmlformats.org/officeDocument/2006/relationships/table" Target="../tables/table68.xml"/><Relationship Id="rId1" Type="http://schemas.openxmlformats.org/officeDocument/2006/relationships/hyperlink" Target="https://energimyndigheten.a-w2m.se/Home.mvc?ResourceId=5685" TargetMode="External"/><Relationship Id="rId6" Type="http://schemas.openxmlformats.org/officeDocument/2006/relationships/printerSettings" Target="../printerSettings/printerSettings1.bin"/><Relationship Id="rId15" Type="http://schemas.openxmlformats.org/officeDocument/2006/relationships/table" Target="../tables/table8.xml"/><Relationship Id="rId23" Type="http://schemas.openxmlformats.org/officeDocument/2006/relationships/table" Target="../tables/table16.xml"/><Relationship Id="rId28" Type="http://schemas.openxmlformats.org/officeDocument/2006/relationships/table" Target="../tables/table21.xml"/><Relationship Id="rId36" Type="http://schemas.openxmlformats.org/officeDocument/2006/relationships/table" Target="../tables/table29.xml"/><Relationship Id="rId49" Type="http://schemas.openxmlformats.org/officeDocument/2006/relationships/table" Target="../tables/table42.xml"/><Relationship Id="rId57" Type="http://schemas.openxmlformats.org/officeDocument/2006/relationships/table" Target="../tables/table50.xml"/><Relationship Id="rId10" Type="http://schemas.openxmlformats.org/officeDocument/2006/relationships/table" Target="../tables/table3.xml"/><Relationship Id="rId31" Type="http://schemas.openxmlformats.org/officeDocument/2006/relationships/table" Target="../tables/table24.xml"/><Relationship Id="rId44" Type="http://schemas.openxmlformats.org/officeDocument/2006/relationships/table" Target="../tables/table37.xml"/><Relationship Id="rId52" Type="http://schemas.openxmlformats.org/officeDocument/2006/relationships/table" Target="../tables/table45.xml"/><Relationship Id="rId60" Type="http://schemas.openxmlformats.org/officeDocument/2006/relationships/table" Target="../tables/table53.xml"/><Relationship Id="rId65" Type="http://schemas.openxmlformats.org/officeDocument/2006/relationships/table" Target="../tables/table58.xml"/><Relationship Id="rId73" Type="http://schemas.openxmlformats.org/officeDocument/2006/relationships/table" Target="../tables/table66.xml"/><Relationship Id="rId78" Type="http://schemas.openxmlformats.org/officeDocument/2006/relationships/table" Target="../tables/table71.xml"/><Relationship Id="rId4" Type="http://schemas.openxmlformats.org/officeDocument/2006/relationships/hyperlink" Target="http://spbi.se/statistik/priser/" TargetMode="External"/><Relationship Id="rId9" Type="http://schemas.openxmlformats.org/officeDocument/2006/relationships/table" Target="../tables/table2.xml"/><Relationship Id="rId13" Type="http://schemas.openxmlformats.org/officeDocument/2006/relationships/table" Target="../tables/table6.xml"/><Relationship Id="rId18" Type="http://schemas.openxmlformats.org/officeDocument/2006/relationships/table" Target="../tables/table11.xml"/><Relationship Id="rId39" Type="http://schemas.openxmlformats.org/officeDocument/2006/relationships/table" Target="../tables/table32.xml"/><Relationship Id="rId34" Type="http://schemas.openxmlformats.org/officeDocument/2006/relationships/table" Target="../tables/table27.xml"/><Relationship Id="rId50" Type="http://schemas.openxmlformats.org/officeDocument/2006/relationships/table" Target="../tables/table43.xml"/><Relationship Id="rId55" Type="http://schemas.openxmlformats.org/officeDocument/2006/relationships/table" Target="../tables/table48.xml"/><Relationship Id="rId76" Type="http://schemas.openxmlformats.org/officeDocument/2006/relationships/table" Target="../tables/table69.xml"/><Relationship Id="rId7" Type="http://schemas.openxmlformats.org/officeDocument/2006/relationships/vmlDrawing" Target="../drawings/vmlDrawing1.vml"/><Relationship Id="rId71" Type="http://schemas.openxmlformats.org/officeDocument/2006/relationships/table" Target="../tables/table64.xml"/><Relationship Id="rId2" Type="http://schemas.openxmlformats.org/officeDocument/2006/relationships/hyperlink" Target="http://www.scb.se/hitta-statistik/statistik-efter-amne/nationalrakenskaper/nationalrakenskaper/nationalrakenskaper-kvartals-och-arsberakningar/" TargetMode="External"/><Relationship Id="rId29" Type="http://schemas.openxmlformats.org/officeDocument/2006/relationships/table" Target="../tables/table22.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ustomProperty" Target="../customProperty1.bin"/><Relationship Id="rId7" Type="http://schemas.openxmlformats.org/officeDocument/2006/relationships/control" Target="../activeX/activeX1.xml"/><Relationship Id="rId2" Type="http://schemas.openxmlformats.org/officeDocument/2006/relationships/printerSettings" Target="../printerSettings/printerSettings2.bin"/><Relationship Id="rId1" Type="http://schemas.openxmlformats.org/officeDocument/2006/relationships/hyperlink" Target="http://www.energimyndigheten.se/statistik/energilaget/" TargetMode="External"/><Relationship Id="rId6" Type="http://schemas.openxmlformats.org/officeDocument/2006/relationships/vmlDrawing" Target="../drawings/vmlDrawing3.vml"/><Relationship Id="rId5" Type="http://schemas.openxmlformats.org/officeDocument/2006/relationships/vmlDrawing" Target="../drawings/vmlDrawing2.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vmlDrawing" Target="../drawings/vmlDrawing4.vml"/><Relationship Id="rId7" Type="http://schemas.openxmlformats.org/officeDocument/2006/relationships/control" Target="../activeX/activeX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image" Target="../media/image5.emf"/><Relationship Id="rId5" Type="http://schemas.openxmlformats.org/officeDocument/2006/relationships/control" Target="../activeX/activeX3.xml"/><Relationship Id="rId4" Type="http://schemas.openxmlformats.org/officeDocument/2006/relationships/vmlDrawing" Target="../drawings/vmlDrawing5.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3.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4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I349"/>
  <sheetViews>
    <sheetView topLeftCell="D106" zoomScale="77" zoomScaleNormal="77" workbookViewId="0">
      <selection activeCell="G126" sqref="G126"/>
    </sheetView>
  </sheetViews>
  <sheetFormatPr defaultColWidth="9.1328125" defaultRowHeight="13.5"/>
  <cols>
    <col min="1" max="1" width="9.1328125" style="996" customWidth="1"/>
    <col min="2" max="2" width="22.265625" style="996" customWidth="1"/>
    <col min="3" max="3" width="54.73046875" style="996" customWidth="1"/>
    <col min="4" max="5" width="9.1328125" style="996"/>
    <col min="6" max="6" width="8.265625" style="996" bestFit="1" customWidth="1"/>
    <col min="7" max="7" width="53.265625" style="996" bestFit="1" customWidth="1"/>
    <col min="8" max="8" width="52.265625" style="996" bestFit="1" customWidth="1"/>
    <col min="9" max="9" width="36.59765625" style="996" bestFit="1" customWidth="1"/>
    <col min="10" max="10" width="55.3984375" style="996" bestFit="1" customWidth="1"/>
    <col min="11" max="11" width="24.73046875" style="996" bestFit="1" customWidth="1"/>
    <col min="12" max="12" width="23.86328125" style="996" bestFit="1" customWidth="1"/>
    <col min="13" max="13" width="25" style="996" bestFit="1" customWidth="1"/>
    <col min="14" max="14" width="37.59765625" style="996" bestFit="1" customWidth="1"/>
    <col min="15" max="15" width="31.73046875" style="996" bestFit="1" customWidth="1"/>
    <col min="16" max="16" width="23.1328125" style="996" bestFit="1" customWidth="1"/>
    <col min="17" max="17" width="20.86328125" style="996" bestFit="1" customWidth="1"/>
    <col min="18" max="18" width="55.86328125" style="996" bestFit="1" customWidth="1"/>
    <col min="19" max="19" width="20.59765625" style="996" bestFit="1" customWidth="1"/>
    <col min="20" max="21" width="9.1328125" style="996"/>
    <col min="22" max="23" width="11.1328125" style="996" customWidth="1"/>
    <col min="24" max="16384" width="9.1328125" style="996"/>
  </cols>
  <sheetData>
    <row r="1" spans="1:35">
      <c r="A1" s="996" t="s">
        <v>541</v>
      </c>
      <c r="B1" s="996" t="s">
        <v>542</v>
      </c>
      <c r="C1" s="996" t="s">
        <v>543</v>
      </c>
      <c r="S1" s="1014"/>
      <c r="AI1" s="996" t="s">
        <v>513</v>
      </c>
    </row>
    <row r="2" spans="1:35">
      <c r="A2" s="996">
        <v>1</v>
      </c>
      <c r="B2" s="996" t="s">
        <v>464</v>
      </c>
      <c r="C2" s="996" t="s">
        <v>942</v>
      </c>
      <c r="F2" s="996" t="s">
        <v>637</v>
      </c>
      <c r="G2" s="996" t="s">
        <v>647</v>
      </c>
      <c r="H2" s="996" t="s">
        <v>648</v>
      </c>
      <c r="I2" s="996" t="s">
        <v>649</v>
      </c>
      <c r="J2" s="996" t="s">
        <v>650</v>
      </c>
      <c r="K2" s="996" t="s">
        <v>651</v>
      </c>
      <c r="L2" s="996" t="s">
        <v>652</v>
      </c>
      <c r="M2" s="996" t="s">
        <v>653</v>
      </c>
      <c r="N2" s="996" t="s">
        <v>654</v>
      </c>
      <c r="O2" s="996" t="s">
        <v>655</v>
      </c>
      <c r="P2" s="996" t="s">
        <v>656</v>
      </c>
      <c r="Q2" s="996" t="s">
        <v>657</v>
      </c>
      <c r="R2" s="996" t="s">
        <v>658</v>
      </c>
      <c r="S2" s="1014"/>
      <c r="AI2" s="996" t="s">
        <v>514</v>
      </c>
    </row>
    <row r="3" spans="1:35">
      <c r="A3" s="996">
        <v>2</v>
      </c>
      <c r="B3" s="996" t="s">
        <v>945</v>
      </c>
      <c r="C3" s="996" t="s">
        <v>946</v>
      </c>
      <c r="F3" s="996" t="str">
        <f>lista[[#Headers],[Svenska]]</f>
        <v>Svenska</v>
      </c>
      <c r="G3" s="971" t="s">
        <v>141</v>
      </c>
      <c r="H3" s="971" t="s">
        <v>10</v>
      </c>
      <c r="I3" s="971" t="s">
        <v>153</v>
      </c>
      <c r="J3" s="971" t="s">
        <v>229</v>
      </c>
      <c r="K3" s="971" t="s">
        <v>145</v>
      </c>
      <c r="L3" s="971" t="s">
        <v>940</v>
      </c>
      <c r="M3" s="971" t="s">
        <v>636</v>
      </c>
      <c r="N3" s="971" t="s">
        <v>13</v>
      </c>
      <c r="O3" s="971" t="s">
        <v>15</v>
      </c>
      <c r="P3" s="971" t="s">
        <v>28</v>
      </c>
      <c r="Q3" s="971" t="s">
        <v>16</v>
      </c>
      <c r="R3" s="971" t="s">
        <v>280</v>
      </c>
      <c r="S3" s="1015"/>
    </row>
    <row r="4" spans="1:35">
      <c r="A4" s="996">
        <v>3</v>
      </c>
      <c r="B4" s="996" t="s">
        <v>943</v>
      </c>
      <c r="C4" s="996" t="s">
        <v>544</v>
      </c>
      <c r="F4" s="996" t="str">
        <f>lista[[#Headers],[English]]</f>
        <v>English</v>
      </c>
      <c r="G4" s="970" t="s">
        <v>591</v>
      </c>
      <c r="H4" s="970" t="s">
        <v>638</v>
      </c>
      <c r="I4" s="970" t="s">
        <v>608</v>
      </c>
      <c r="J4" s="970" t="s">
        <v>639</v>
      </c>
      <c r="K4" s="970" t="s">
        <v>640</v>
      </c>
      <c r="L4" s="970" t="s">
        <v>644</v>
      </c>
      <c r="M4" s="970" t="s">
        <v>645</v>
      </c>
      <c r="N4" s="970" t="s">
        <v>646</v>
      </c>
      <c r="O4" s="970" t="s">
        <v>641</v>
      </c>
      <c r="P4" s="970" t="s">
        <v>642</v>
      </c>
      <c r="Q4" s="970" t="s">
        <v>643</v>
      </c>
      <c r="R4" s="970" t="s">
        <v>548</v>
      </c>
      <c r="S4" s="1015"/>
    </row>
    <row r="5" spans="1:35">
      <c r="A5" s="996">
        <v>4</v>
      </c>
      <c r="B5" s="996" t="s">
        <v>369</v>
      </c>
      <c r="C5" s="996" t="s">
        <v>545</v>
      </c>
      <c r="S5" s="1014"/>
    </row>
    <row r="6" spans="1:35">
      <c r="A6" s="996">
        <v>5</v>
      </c>
      <c r="B6" s="996" t="s">
        <v>366</v>
      </c>
      <c r="C6" s="996" t="s">
        <v>546</v>
      </c>
    </row>
    <row r="7" spans="1:35">
      <c r="A7" s="996">
        <v>6</v>
      </c>
      <c r="B7" s="1021" t="s">
        <v>281</v>
      </c>
      <c r="C7" s="1021" t="s">
        <v>547</v>
      </c>
      <c r="F7" s="996" t="s">
        <v>637</v>
      </c>
      <c r="G7" s="972" t="s">
        <v>647</v>
      </c>
      <c r="H7" s="972" t="s">
        <v>648</v>
      </c>
      <c r="I7" s="972" t="s">
        <v>649</v>
      </c>
      <c r="J7" s="972" t="s">
        <v>650</v>
      </c>
      <c r="K7" s="972" t="s">
        <v>651</v>
      </c>
    </row>
    <row r="8" spans="1:35">
      <c r="A8" s="996">
        <v>7</v>
      </c>
      <c r="B8" s="996" t="s">
        <v>947</v>
      </c>
      <c r="C8" s="996" t="s">
        <v>948</v>
      </c>
      <c r="F8" s="996" t="str">
        <f>lista[[#Headers],[Svenska]]</f>
        <v>Svenska</v>
      </c>
      <c r="G8" s="971" t="s">
        <v>485</v>
      </c>
      <c r="H8" s="971" t="s">
        <v>486</v>
      </c>
      <c r="I8" s="971" t="s">
        <v>219</v>
      </c>
      <c r="J8" s="971" t="s">
        <v>487</v>
      </c>
      <c r="K8" s="971" t="s">
        <v>488</v>
      </c>
    </row>
    <row r="9" spans="1:35">
      <c r="A9" s="996">
        <v>8</v>
      </c>
      <c r="B9" s="996" t="s">
        <v>280</v>
      </c>
      <c r="C9" s="996" t="s">
        <v>548</v>
      </c>
      <c r="F9" s="996" t="str">
        <f>lista[[#Headers],[English]]</f>
        <v>English</v>
      </c>
      <c r="G9" s="973" t="s">
        <v>666</v>
      </c>
      <c r="H9" s="973" t="s">
        <v>667</v>
      </c>
      <c r="I9" s="973" t="s">
        <v>659</v>
      </c>
      <c r="J9" s="973" t="s">
        <v>668</v>
      </c>
      <c r="K9" s="973" t="s">
        <v>669</v>
      </c>
    </row>
    <row r="10" spans="1:35">
      <c r="A10" s="996">
        <v>9</v>
      </c>
      <c r="B10" s="996" t="s">
        <v>253</v>
      </c>
      <c r="C10" s="996" t="s">
        <v>549</v>
      </c>
    </row>
    <row r="11" spans="1:35">
      <c r="A11" s="996">
        <v>10</v>
      </c>
      <c r="B11" s="1021" t="s">
        <v>282</v>
      </c>
      <c r="C11" s="1021" t="s">
        <v>550</v>
      </c>
    </row>
    <row r="12" spans="1:35">
      <c r="A12" s="996">
        <v>11</v>
      </c>
      <c r="B12" s="996" t="s">
        <v>396</v>
      </c>
      <c r="C12" s="996" t="s">
        <v>551</v>
      </c>
      <c r="F12" s="996" t="s">
        <v>637</v>
      </c>
      <c r="G12" s="972" t="s">
        <v>647</v>
      </c>
      <c r="H12" s="972" t="s">
        <v>648</v>
      </c>
      <c r="I12" s="972" t="s">
        <v>649</v>
      </c>
      <c r="J12" s="972" t="s">
        <v>650</v>
      </c>
      <c r="K12" s="972" t="s">
        <v>651</v>
      </c>
      <c r="L12" s="972" t="s">
        <v>652</v>
      </c>
      <c r="M12" s="972" t="s">
        <v>653</v>
      </c>
    </row>
    <row r="13" spans="1:35">
      <c r="A13" s="996">
        <v>12</v>
      </c>
      <c r="B13" s="996" t="s">
        <v>257</v>
      </c>
      <c r="C13" s="996" t="s">
        <v>552</v>
      </c>
      <c r="F13" s="996" t="str">
        <f>lista[[#Headers],[Svenska]]</f>
        <v>Svenska</v>
      </c>
      <c r="G13" s="971" t="s">
        <v>94</v>
      </c>
      <c r="H13" s="971" t="s">
        <v>278</v>
      </c>
      <c r="I13" s="971" t="s">
        <v>146</v>
      </c>
      <c r="J13" s="971" t="s">
        <v>230</v>
      </c>
      <c r="K13" s="971" t="s">
        <v>145</v>
      </c>
      <c r="L13" s="971" t="s">
        <v>23</v>
      </c>
      <c r="M13" s="971" t="s">
        <v>31</v>
      </c>
    </row>
    <row r="14" spans="1:35">
      <c r="A14" s="996">
        <v>13</v>
      </c>
      <c r="B14" s="1021" t="s">
        <v>132</v>
      </c>
      <c r="C14" s="1021" t="s">
        <v>553</v>
      </c>
      <c r="F14" s="996" t="str">
        <f>lista[[#Headers],[English]]</f>
        <v>English</v>
      </c>
      <c r="G14" s="973" t="s">
        <v>591</v>
      </c>
      <c r="H14" s="973" t="s">
        <v>670</v>
      </c>
      <c r="I14" s="973" t="s">
        <v>671</v>
      </c>
      <c r="J14" s="973" t="s">
        <v>639</v>
      </c>
      <c r="K14" s="973" t="s">
        <v>640</v>
      </c>
      <c r="L14" s="973" t="s">
        <v>672</v>
      </c>
      <c r="M14" s="973" t="s">
        <v>673</v>
      </c>
    </row>
    <row r="15" spans="1:35">
      <c r="A15" s="996">
        <v>14</v>
      </c>
      <c r="B15" s="996" t="s">
        <v>370</v>
      </c>
      <c r="C15" s="996" t="s">
        <v>554</v>
      </c>
      <c r="F15" s="996" t="s">
        <v>68</v>
      </c>
    </row>
    <row r="16" spans="1:35">
      <c r="A16" s="996">
        <v>15</v>
      </c>
      <c r="B16" s="996" t="s">
        <v>258</v>
      </c>
      <c r="C16" s="996" t="s">
        <v>555</v>
      </c>
      <c r="F16" s="996" t="s">
        <v>68</v>
      </c>
    </row>
    <row r="17" spans="1:13">
      <c r="A17" s="996">
        <v>16</v>
      </c>
      <c r="B17" s="996" t="s">
        <v>259</v>
      </c>
      <c r="C17" s="996" t="s">
        <v>556</v>
      </c>
      <c r="F17" s="996" t="s">
        <v>637</v>
      </c>
      <c r="G17" s="972" t="s">
        <v>647</v>
      </c>
      <c r="H17" s="972" t="s">
        <v>648</v>
      </c>
      <c r="I17" s="972" t="s">
        <v>649</v>
      </c>
    </row>
    <row r="18" spans="1:13">
      <c r="A18" s="996">
        <v>17</v>
      </c>
      <c r="B18" s="996" t="s">
        <v>260</v>
      </c>
      <c r="C18" s="996" t="s">
        <v>557</v>
      </c>
      <c r="F18" s="996" t="str">
        <f>lista[[#Headers],[Svenska]]</f>
        <v>Svenska</v>
      </c>
      <c r="G18" s="971" t="s">
        <v>11</v>
      </c>
      <c r="H18" s="971" t="s">
        <v>522</v>
      </c>
      <c r="I18" s="971" t="s">
        <v>132</v>
      </c>
    </row>
    <row r="19" spans="1:13">
      <c r="A19" s="996">
        <v>18</v>
      </c>
      <c r="B19" s="996" t="s">
        <v>558</v>
      </c>
      <c r="C19" s="996" t="s">
        <v>559</v>
      </c>
      <c r="F19" s="996" t="str">
        <f>lista[[#Headers],[English]]</f>
        <v>English</v>
      </c>
      <c r="G19" s="973" t="s">
        <v>674</v>
      </c>
      <c r="H19" s="973" t="s">
        <v>675</v>
      </c>
      <c r="I19" s="973" t="s">
        <v>553</v>
      </c>
    </row>
    <row r="20" spans="1:13">
      <c r="A20" s="996">
        <v>19</v>
      </c>
      <c r="B20" s="996" t="s">
        <v>476</v>
      </c>
      <c r="C20" s="996" t="s">
        <v>633</v>
      </c>
      <c r="F20" s="996" t="s">
        <v>68</v>
      </c>
    </row>
    <row r="21" spans="1:13">
      <c r="A21" s="996">
        <v>20</v>
      </c>
      <c r="B21" s="1021" t="s">
        <v>120</v>
      </c>
      <c r="C21" s="1021" t="s">
        <v>560</v>
      </c>
    </row>
    <row r="22" spans="1:13">
      <c r="A22" s="996">
        <v>21</v>
      </c>
      <c r="B22" s="996" t="s">
        <v>262</v>
      </c>
      <c r="C22" s="996" t="s">
        <v>561</v>
      </c>
      <c r="F22" s="996" t="s">
        <v>637</v>
      </c>
      <c r="G22" s="972" t="s">
        <v>647</v>
      </c>
      <c r="H22" s="972" t="s">
        <v>648</v>
      </c>
      <c r="I22" s="972" t="s">
        <v>649</v>
      </c>
      <c r="J22" s="972" t="s">
        <v>650</v>
      </c>
      <c r="K22" s="972" t="s">
        <v>651</v>
      </c>
      <c r="L22" s="972" t="s">
        <v>652</v>
      </c>
      <c r="M22" s="972" t="s">
        <v>653</v>
      </c>
    </row>
    <row r="23" spans="1:13">
      <c r="A23" s="996">
        <v>22</v>
      </c>
      <c r="B23" s="996" t="s">
        <v>263</v>
      </c>
      <c r="C23" s="996" t="s">
        <v>562</v>
      </c>
      <c r="F23" s="996" t="str">
        <f>lista[[#Headers],[Svenska]]</f>
        <v>Svenska</v>
      </c>
      <c r="G23" s="971" t="s">
        <v>141</v>
      </c>
      <c r="H23" s="971" t="s">
        <v>10</v>
      </c>
      <c r="I23" s="971" t="s">
        <v>146</v>
      </c>
      <c r="J23" s="971" t="s">
        <v>229</v>
      </c>
      <c r="K23" s="971" t="s">
        <v>145</v>
      </c>
      <c r="L23" s="971" t="s">
        <v>23</v>
      </c>
      <c r="M23" s="971" t="s">
        <v>31</v>
      </c>
    </row>
    <row r="24" spans="1:13">
      <c r="A24" s="996">
        <v>23</v>
      </c>
      <c r="B24" s="996" t="s">
        <v>264</v>
      </c>
      <c r="C24" s="996" t="s">
        <v>563</v>
      </c>
      <c r="F24" s="996" t="str">
        <f>lista[[#Headers],[English]]</f>
        <v>English</v>
      </c>
      <c r="G24" s="973" t="s">
        <v>591</v>
      </c>
      <c r="H24" s="973" t="s">
        <v>638</v>
      </c>
      <c r="I24" s="973" t="s">
        <v>676</v>
      </c>
      <c r="J24" s="973" t="s">
        <v>639</v>
      </c>
      <c r="K24" s="973" t="s">
        <v>640</v>
      </c>
      <c r="L24" s="973" t="s">
        <v>672</v>
      </c>
      <c r="M24" s="973" t="s">
        <v>673</v>
      </c>
    </row>
    <row r="25" spans="1:13">
      <c r="A25" s="996">
        <v>24</v>
      </c>
      <c r="B25" s="996" t="s">
        <v>265</v>
      </c>
      <c r="C25" s="996" t="s">
        <v>564</v>
      </c>
      <c r="F25" s="996" t="s">
        <v>68</v>
      </c>
      <c r="G25" s="996" t="s">
        <v>68</v>
      </c>
    </row>
    <row r="26" spans="1:13">
      <c r="A26" s="996">
        <v>25</v>
      </c>
      <c r="B26" s="996" t="s">
        <v>266</v>
      </c>
      <c r="C26" s="996" t="s">
        <v>565</v>
      </c>
    </row>
    <row r="27" spans="1:13">
      <c r="A27" s="996">
        <v>26</v>
      </c>
      <c r="B27" s="996" t="s">
        <v>475</v>
      </c>
      <c r="C27" s="996" t="s">
        <v>631</v>
      </c>
      <c r="F27" s="996" t="s">
        <v>637</v>
      </c>
      <c r="G27" s="972" t="s">
        <v>647</v>
      </c>
      <c r="H27" s="972" t="s">
        <v>648</v>
      </c>
      <c r="I27" s="972" t="s">
        <v>649</v>
      </c>
      <c r="J27" s="972" t="s">
        <v>650</v>
      </c>
      <c r="K27" s="972" t="s">
        <v>651</v>
      </c>
      <c r="L27" s="972" t="s">
        <v>652</v>
      </c>
      <c r="M27" s="972" t="s">
        <v>653</v>
      </c>
    </row>
    <row r="28" spans="1:13">
      <c r="A28" s="996">
        <v>27</v>
      </c>
      <c r="B28" s="996" t="s">
        <v>566</v>
      </c>
      <c r="C28" s="996" t="s">
        <v>567</v>
      </c>
      <c r="F28" s="996" t="str">
        <f>lista[[#Headers],[Svenska]]</f>
        <v>Svenska</v>
      </c>
      <c r="G28" s="971" t="s">
        <v>250</v>
      </c>
      <c r="H28" s="971" t="s">
        <v>489</v>
      </c>
      <c r="I28" s="971" t="s">
        <v>238</v>
      </c>
      <c r="J28" s="971" t="s">
        <v>136</v>
      </c>
      <c r="K28" s="971" t="s">
        <v>137</v>
      </c>
      <c r="L28" s="971" t="s">
        <v>138</v>
      </c>
      <c r="M28" s="971" t="s">
        <v>135</v>
      </c>
    </row>
    <row r="29" spans="1:13">
      <c r="A29" s="996">
        <v>28</v>
      </c>
      <c r="B29" s="1021" t="s">
        <v>121</v>
      </c>
      <c r="C29" s="1021" t="s">
        <v>568</v>
      </c>
      <c r="F29" s="996" t="str">
        <f>lista[[#Headers],[English]]</f>
        <v>English</v>
      </c>
      <c r="G29" s="973" t="s">
        <v>677</v>
      </c>
      <c r="H29" s="973" t="s">
        <v>678</v>
      </c>
      <c r="I29" s="973" t="s">
        <v>679</v>
      </c>
      <c r="J29" s="973" t="s">
        <v>680</v>
      </c>
      <c r="K29" s="973" t="s">
        <v>681</v>
      </c>
      <c r="L29" s="973" t="s">
        <v>682</v>
      </c>
      <c r="M29" s="973" t="s">
        <v>683</v>
      </c>
    </row>
    <row r="30" spans="1:13">
      <c r="A30" s="996">
        <v>29</v>
      </c>
      <c r="B30" s="996" t="s">
        <v>318</v>
      </c>
      <c r="C30" s="996" t="s">
        <v>569</v>
      </c>
    </row>
    <row r="31" spans="1:13">
      <c r="A31" s="996">
        <v>30</v>
      </c>
      <c r="B31" s="996" t="s">
        <v>288</v>
      </c>
      <c r="C31" s="996" t="s">
        <v>570</v>
      </c>
    </row>
    <row r="32" spans="1:13">
      <c r="A32" s="996">
        <v>31</v>
      </c>
      <c r="B32" s="996" t="s">
        <v>385</v>
      </c>
      <c r="C32" s="996" t="s">
        <v>571</v>
      </c>
      <c r="F32" s="996" t="s">
        <v>637</v>
      </c>
      <c r="G32" s="972" t="s">
        <v>647</v>
      </c>
      <c r="H32" s="972" t="s">
        <v>648</v>
      </c>
      <c r="I32" s="972" t="s">
        <v>649</v>
      </c>
    </row>
    <row r="33" spans="1:27">
      <c r="A33" s="996">
        <v>32</v>
      </c>
      <c r="B33" s="996" t="s">
        <v>391</v>
      </c>
      <c r="C33" s="996" t="s">
        <v>572</v>
      </c>
      <c r="F33" s="996" t="str">
        <f>lista[[#Headers],[Svenska]]</f>
        <v>Svenska</v>
      </c>
      <c r="G33" s="971" t="s">
        <v>251</v>
      </c>
      <c r="H33" s="971" t="s">
        <v>30</v>
      </c>
      <c r="I33" s="971" t="s">
        <v>159</v>
      </c>
    </row>
    <row r="34" spans="1:27">
      <c r="A34" s="996">
        <v>33</v>
      </c>
      <c r="B34" s="996" t="s">
        <v>477</v>
      </c>
      <c r="C34" s="996" t="s">
        <v>632</v>
      </c>
      <c r="F34" s="996" t="str">
        <f>lista[[#Headers],[English]]</f>
        <v>English</v>
      </c>
      <c r="G34" s="973" t="s">
        <v>684</v>
      </c>
      <c r="H34" s="973" t="s">
        <v>685</v>
      </c>
      <c r="I34" s="973" t="s">
        <v>686</v>
      </c>
    </row>
    <row r="35" spans="1:27">
      <c r="A35" s="996">
        <v>34</v>
      </c>
      <c r="B35" s="1021" t="s">
        <v>82</v>
      </c>
      <c r="C35" s="1021" t="s">
        <v>573</v>
      </c>
    </row>
    <row r="36" spans="1:27">
      <c r="A36" s="996">
        <v>35</v>
      </c>
      <c r="B36" s="996" t="s">
        <v>392</v>
      </c>
      <c r="C36" s="996" t="s">
        <v>574</v>
      </c>
    </row>
    <row r="37" spans="1:27">
      <c r="A37" s="996">
        <v>36</v>
      </c>
      <c r="B37" s="996" t="s">
        <v>393</v>
      </c>
      <c r="C37" s="996" t="s">
        <v>575</v>
      </c>
      <c r="F37" s="996" t="s">
        <v>637</v>
      </c>
      <c r="G37" s="996" t="s">
        <v>647</v>
      </c>
      <c r="H37" s="996" t="s">
        <v>648</v>
      </c>
      <c r="I37" s="996" t="s">
        <v>649</v>
      </c>
      <c r="J37" s="996" t="s">
        <v>650</v>
      </c>
      <c r="K37" s="996" t="s">
        <v>651</v>
      </c>
      <c r="L37" s="996" t="s">
        <v>652</v>
      </c>
      <c r="M37" s="996" t="s">
        <v>653</v>
      </c>
      <c r="N37" s="996" t="s">
        <v>654</v>
      </c>
      <c r="O37" s="996" t="s">
        <v>655</v>
      </c>
      <c r="P37" s="996" t="s">
        <v>656</v>
      </c>
      <c r="Q37" s="996" t="s">
        <v>657</v>
      </c>
      <c r="R37" s="996" t="s">
        <v>658</v>
      </c>
      <c r="S37" s="997" t="s">
        <v>660</v>
      </c>
      <c r="T37" s="997" t="s">
        <v>661</v>
      </c>
      <c r="U37" s="997" t="s">
        <v>662</v>
      </c>
      <c r="V37" s="997" t="s">
        <v>663</v>
      </c>
      <c r="W37" s="997" t="s">
        <v>664</v>
      </c>
      <c r="X37" s="997" t="s">
        <v>665</v>
      </c>
      <c r="Y37" s="997" t="s">
        <v>858</v>
      </c>
      <c r="Z37" s="997" t="s">
        <v>859</v>
      </c>
      <c r="AA37" s="997" t="s">
        <v>860</v>
      </c>
    </row>
    <row r="38" spans="1:27">
      <c r="A38" s="996">
        <v>37</v>
      </c>
      <c r="B38" s="996" t="s">
        <v>289</v>
      </c>
      <c r="C38" s="996" t="s">
        <v>576</v>
      </c>
      <c r="F38" s="996" t="str">
        <f>lista[[#Headers],[Svenska]]</f>
        <v>Svenska</v>
      </c>
      <c r="G38" s="971" t="s">
        <v>40</v>
      </c>
      <c r="H38" s="971" t="s">
        <v>23</v>
      </c>
      <c r="I38" s="971" t="s">
        <v>29</v>
      </c>
      <c r="J38" s="971" t="s">
        <v>212</v>
      </c>
      <c r="K38" s="971" t="s">
        <v>94</v>
      </c>
      <c r="L38" s="971" t="s">
        <v>213</v>
      </c>
      <c r="M38" s="971" t="s">
        <v>40</v>
      </c>
      <c r="N38" s="971" t="s">
        <v>23</v>
      </c>
      <c r="O38" s="971" t="s">
        <v>29</v>
      </c>
      <c r="P38" s="971" t="s">
        <v>212</v>
      </c>
      <c r="Q38" s="971" t="s">
        <v>94</v>
      </c>
      <c r="R38" s="971" t="s">
        <v>214</v>
      </c>
      <c r="S38" s="971" t="s">
        <v>40</v>
      </c>
      <c r="T38" s="971" t="s">
        <v>23</v>
      </c>
      <c r="U38" s="971" t="s">
        <v>29</v>
      </c>
      <c r="V38" s="971" t="s">
        <v>212</v>
      </c>
      <c r="W38" s="996" t="s">
        <v>94</v>
      </c>
      <c r="X38" s="996" t="s">
        <v>215</v>
      </c>
      <c r="Y38" s="996" t="s">
        <v>209</v>
      </c>
      <c r="Z38" s="996" t="s">
        <v>210</v>
      </c>
      <c r="AA38" s="996" t="s">
        <v>211</v>
      </c>
    </row>
    <row r="39" spans="1:27">
      <c r="A39" s="996">
        <v>38</v>
      </c>
      <c r="B39" s="996" t="s">
        <v>290</v>
      </c>
      <c r="C39" s="996" t="s">
        <v>577</v>
      </c>
      <c r="F39" s="996" t="str">
        <f>lista[[#Headers],[English]]</f>
        <v>English</v>
      </c>
      <c r="G39" s="970" t="s">
        <v>687</v>
      </c>
      <c r="H39" s="970" t="s">
        <v>672</v>
      </c>
      <c r="I39" s="970" t="s">
        <v>684</v>
      </c>
      <c r="J39" s="970" t="s">
        <v>615</v>
      </c>
      <c r="K39" s="970" t="s">
        <v>591</v>
      </c>
      <c r="L39" s="970" t="s">
        <v>643</v>
      </c>
      <c r="M39" s="970" t="s">
        <v>687</v>
      </c>
      <c r="N39" s="970" t="s">
        <v>672</v>
      </c>
      <c r="O39" s="970" t="s">
        <v>684</v>
      </c>
      <c r="P39" s="970" t="s">
        <v>615</v>
      </c>
      <c r="Q39" s="970" t="s">
        <v>591</v>
      </c>
      <c r="R39" s="970" t="s">
        <v>643</v>
      </c>
      <c r="S39" s="970" t="s">
        <v>687</v>
      </c>
      <c r="T39" s="970" t="s">
        <v>672</v>
      </c>
      <c r="U39" s="970" t="s">
        <v>684</v>
      </c>
      <c r="V39" s="970" t="s">
        <v>615</v>
      </c>
      <c r="W39" s="996" t="s">
        <v>591</v>
      </c>
      <c r="X39" s="996" t="s">
        <v>643</v>
      </c>
      <c r="Y39" s="996" t="s">
        <v>688</v>
      </c>
      <c r="Z39" s="996" t="s">
        <v>689</v>
      </c>
      <c r="AA39" s="996" t="s">
        <v>690</v>
      </c>
    </row>
    <row r="40" spans="1:27">
      <c r="A40" s="996">
        <v>39</v>
      </c>
      <c r="B40" s="996" t="s">
        <v>442</v>
      </c>
      <c r="C40" s="996" t="s">
        <v>578</v>
      </c>
      <c r="F40" s="997" t="s">
        <v>68</v>
      </c>
      <c r="W40" s="997"/>
      <c r="X40" s="997"/>
    </row>
    <row r="41" spans="1:27">
      <c r="A41" s="996">
        <v>40</v>
      </c>
      <c r="B41" s="996" t="s">
        <v>443</v>
      </c>
      <c r="C41" s="996" t="s">
        <v>634</v>
      </c>
    </row>
    <row r="42" spans="1:27">
      <c r="A42" s="996">
        <v>41</v>
      </c>
      <c r="B42" s="996" t="s">
        <v>444</v>
      </c>
      <c r="C42" s="996" t="s">
        <v>579</v>
      </c>
      <c r="F42" s="996" t="s">
        <v>637</v>
      </c>
      <c r="G42" s="972" t="s">
        <v>647</v>
      </c>
      <c r="H42" s="972" t="s">
        <v>648</v>
      </c>
      <c r="I42" s="972" t="s">
        <v>649</v>
      </c>
    </row>
    <row r="43" spans="1:27">
      <c r="A43" s="996">
        <v>42</v>
      </c>
      <c r="B43" s="996" t="s">
        <v>445</v>
      </c>
      <c r="C43" s="996" t="s">
        <v>580</v>
      </c>
      <c r="F43" s="996" t="str">
        <f>lista[[#Headers],[Svenska]]</f>
        <v>Svenska</v>
      </c>
      <c r="G43" s="971" t="s">
        <v>209</v>
      </c>
      <c r="H43" s="971" t="s">
        <v>210</v>
      </c>
      <c r="I43" s="971" t="s">
        <v>211</v>
      </c>
    </row>
    <row r="44" spans="1:27">
      <c r="A44" s="996">
        <v>43</v>
      </c>
      <c r="B44" s="996" t="s">
        <v>446</v>
      </c>
      <c r="C44" s="996" t="s">
        <v>581</v>
      </c>
      <c r="F44" s="996" t="str">
        <f>lista[[#Headers],[English]]</f>
        <v>English</v>
      </c>
      <c r="G44" s="973" t="s">
        <v>688</v>
      </c>
      <c r="H44" s="973" t="s">
        <v>689</v>
      </c>
      <c r="I44" s="996" t="s">
        <v>690</v>
      </c>
    </row>
    <row r="45" spans="1:27">
      <c r="A45" s="996">
        <v>44</v>
      </c>
      <c r="B45" s="996" t="s">
        <v>456</v>
      </c>
      <c r="C45" s="996" t="s">
        <v>582</v>
      </c>
      <c r="F45" s="996" t="s">
        <v>68</v>
      </c>
    </row>
    <row r="46" spans="1:27">
      <c r="A46" s="996">
        <v>45</v>
      </c>
      <c r="B46" s="996" t="s">
        <v>457</v>
      </c>
      <c r="C46" s="996" t="s">
        <v>583</v>
      </c>
      <c r="F46" s="996" t="s">
        <v>68</v>
      </c>
    </row>
    <row r="47" spans="1:27">
      <c r="A47" s="996">
        <v>46</v>
      </c>
      <c r="B47" s="996" t="s">
        <v>458</v>
      </c>
      <c r="C47" s="996" t="s">
        <v>584</v>
      </c>
      <c r="F47" s="996" t="s">
        <v>637</v>
      </c>
      <c r="G47" s="972" t="s">
        <v>647</v>
      </c>
      <c r="H47" s="972" t="s">
        <v>648</v>
      </c>
      <c r="I47" s="972" t="s">
        <v>649</v>
      </c>
      <c r="J47" s="972" t="s">
        <v>650</v>
      </c>
      <c r="K47" s="972" t="s">
        <v>651</v>
      </c>
    </row>
    <row r="48" spans="1:27">
      <c r="A48" s="996">
        <v>47</v>
      </c>
      <c r="B48" s="996" t="s">
        <v>447</v>
      </c>
      <c r="C48" s="996" t="s">
        <v>585</v>
      </c>
      <c r="F48" s="996" t="str">
        <f>lista[[#Headers],[Svenska]]</f>
        <v>Svenska</v>
      </c>
      <c r="G48" s="971" t="s">
        <v>221</v>
      </c>
      <c r="H48" s="971" t="s">
        <v>222</v>
      </c>
      <c r="I48" s="971" t="s">
        <v>223</v>
      </c>
      <c r="J48" s="971" t="s">
        <v>80</v>
      </c>
      <c r="K48" s="971" t="s">
        <v>838</v>
      </c>
    </row>
    <row r="49" spans="1:15">
      <c r="A49" s="996">
        <v>48</v>
      </c>
      <c r="B49" s="996" t="s">
        <v>434</v>
      </c>
      <c r="C49" s="996" t="s">
        <v>586</v>
      </c>
      <c r="F49" s="996" t="str">
        <f>lista[[#Headers],[English]]</f>
        <v>English</v>
      </c>
      <c r="G49" s="973" t="s">
        <v>691</v>
      </c>
      <c r="H49" s="973" t="s">
        <v>692</v>
      </c>
      <c r="I49" s="973" t="s">
        <v>693</v>
      </c>
      <c r="J49" s="973" t="s">
        <v>694</v>
      </c>
      <c r="K49" s="973" t="s">
        <v>836</v>
      </c>
    </row>
    <row r="50" spans="1:15">
      <c r="A50" s="996">
        <v>49</v>
      </c>
      <c r="B50" s="1021" t="s">
        <v>83</v>
      </c>
      <c r="C50" s="1021" t="s">
        <v>587</v>
      </c>
    </row>
    <row r="51" spans="1:15">
      <c r="A51" s="996">
        <v>50</v>
      </c>
      <c r="B51" s="996" t="s">
        <v>276</v>
      </c>
      <c r="C51" s="996" t="s">
        <v>588</v>
      </c>
    </row>
    <row r="52" spans="1:15">
      <c r="A52" s="996">
        <v>51</v>
      </c>
      <c r="B52" s="996" t="s">
        <v>277</v>
      </c>
      <c r="C52" s="996" t="s">
        <v>589</v>
      </c>
      <c r="F52" s="996" t="s">
        <v>637</v>
      </c>
      <c r="G52" s="972" t="s">
        <v>647</v>
      </c>
      <c r="H52" s="972" t="s">
        <v>648</v>
      </c>
      <c r="I52" s="972" t="s">
        <v>649</v>
      </c>
      <c r="J52" s="972" t="s">
        <v>650</v>
      </c>
      <c r="K52" s="972" t="s">
        <v>651</v>
      </c>
      <c r="L52" s="972" t="s">
        <v>652</v>
      </c>
      <c r="M52" s="972" t="s">
        <v>653</v>
      </c>
    </row>
    <row r="53" spans="1:15">
      <c r="A53" s="996">
        <v>52</v>
      </c>
      <c r="B53" s="996" t="s">
        <v>441</v>
      </c>
      <c r="C53" s="996" t="s">
        <v>590</v>
      </c>
      <c r="F53" s="996" t="str">
        <f>lista[[#Headers],[Svenska]]</f>
        <v>Svenska</v>
      </c>
      <c r="G53" s="971" t="s">
        <v>141</v>
      </c>
      <c r="H53" s="971" t="s">
        <v>278</v>
      </c>
      <c r="I53" s="971" t="s">
        <v>146</v>
      </c>
      <c r="J53" s="971" t="s">
        <v>32</v>
      </c>
      <c r="K53" s="971" t="s">
        <v>145</v>
      </c>
      <c r="L53" s="971" t="s">
        <v>23</v>
      </c>
      <c r="M53" s="971" t="s">
        <v>12</v>
      </c>
    </row>
    <row r="54" spans="1:15">
      <c r="A54" s="996">
        <v>53</v>
      </c>
      <c r="B54" s="1021" t="s">
        <v>94</v>
      </c>
      <c r="C54" s="1021" t="s">
        <v>591</v>
      </c>
      <c r="F54" s="996" t="str">
        <f>lista[[#Headers],[English]]</f>
        <v>English</v>
      </c>
      <c r="G54" s="973" t="s">
        <v>591</v>
      </c>
      <c r="H54" s="973" t="s">
        <v>670</v>
      </c>
      <c r="I54" s="973" t="s">
        <v>671</v>
      </c>
      <c r="J54" s="973" t="s">
        <v>639</v>
      </c>
      <c r="K54" s="973" t="s">
        <v>640</v>
      </c>
      <c r="L54" s="973" t="s">
        <v>672</v>
      </c>
      <c r="M54" s="973" t="s">
        <v>673</v>
      </c>
    </row>
    <row r="55" spans="1:15">
      <c r="A55" s="996">
        <v>54</v>
      </c>
      <c r="B55" s="996" t="s">
        <v>279</v>
      </c>
      <c r="C55" s="996" t="s">
        <v>592</v>
      </c>
    </row>
    <row r="56" spans="1:15">
      <c r="A56" s="996">
        <v>55</v>
      </c>
      <c r="B56" s="996" t="s">
        <v>390</v>
      </c>
      <c r="C56" s="996" t="s">
        <v>593</v>
      </c>
    </row>
    <row r="57" spans="1:15">
      <c r="A57" s="996">
        <v>56</v>
      </c>
      <c r="B57" s="996" t="s">
        <v>291</v>
      </c>
      <c r="C57" s="996" t="s">
        <v>594</v>
      </c>
      <c r="F57" s="996" t="s">
        <v>637</v>
      </c>
      <c r="G57" s="972" t="s">
        <v>647</v>
      </c>
      <c r="H57" s="972" t="s">
        <v>648</v>
      </c>
      <c r="I57" s="972" t="s">
        <v>649</v>
      </c>
      <c r="J57" s="972" t="s">
        <v>650</v>
      </c>
      <c r="K57" s="972" t="s">
        <v>651</v>
      </c>
      <c r="L57" s="972" t="s">
        <v>652</v>
      </c>
      <c r="M57" s="972" t="s">
        <v>653</v>
      </c>
      <c r="N57" s="972" t="s">
        <v>654</v>
      </c>
      <c r="O57" s="972" t="s">
        <v>655</v>
      </c>
    </row>
    <row r="58" spans="1:15">
      <c r="A58" s="996">
        <v>57</v>
      </c>
      <c r="B58" s="996" t="s">
        <v>595</v>
      </c>
      <c r="C58" s="996" t="s">
        <v>596</v>
      </c>
      <c r="F58" s="996" t="str">
        <f>lista[[#Headers],[Svenska]]</f>
        <v>Svenska</v>
      </c>
      <c r="G58" s="971" t="s">
        <v>33</v>
      </c>
      <c r="H58" s="971" t="s">
        <v>144</v>
      </c>
      <c r="I58" s="971" t="s">
        <v>34</v>
      </c>
      <c r="J58" s="971" t="s">
        <v>239</v>
      </c>
      <c r="K58" s="971" t="s">
        <v>142</v>
      </c>
      <c r="L58" s="971" t="s">
        <v>165</v>
      </c>
      <c r="M58" s="971" t="s">
        <v>164</v>
      </c>
      <c r="N58" s="971" t="s">
        <v>143</v>
      </c>
      <c r="O58" s="971" t="s">
        <v>254</v>
      </c>
    </row>
    <row r="59" spans="1:15">
      <c r="A59" s="996">
        <v>58</v>
      </c>
      <c r="B59" s="996" t="s">
        <v>597</v>
      </c>
      <c r="C59" s="996" t="s">
        <v>598</v>
      </c>
      <c r="F59" s="996" t="str">
        <f>lista[[#Headers],[English]]</f>
        <v>English</v>
      </c>
      <c r="G59" s="970" t="s">
        <v>695</v>
      </c>
      <c r="H59" s="970" t="s">
        <v>696</v>
      </c>
      <c r="I59" s="970" t="s">
        <v>697</v>
      </c>
      <c r="J59" s="970" t="s">
        <v>698</v>
      </c>
      <c r="K59" s="970" t="s">
        <v>699</v>
      </c>
      <c r="L59" s="970" t="s">
        <v>700</v>
      </c>
      <c r="M59" s="970" t="s">
        <v>701</v>
      </c>
      <c r="N59" s="970" t="s">
        <v>702</v>
      </c>
      <c r="O59" s="970" t="s">
        <v>703</v>
      </c>
    </row>
    <row r="60" spans="1:15">
      <c r="A60" s="996">
        <v>59</v>
      </c>
      <c r="B60" s="996" t="s">
        <v>599</v>
      </c>
      <c r="C60" s="996" t="s">
        <v>600</v>
      </c>
    </row>
    <row r="61" spans="1:15">
      <c r="A61" s="996">
        <v>60</v>
      </c>
      <c r="B61" s="996" t="s">
        <v>601</v>
      </c>
      <c r="C61" s="996" t="s">
        <v>602</v>
      </c>
    </row>
    <row r="62" spans="1:15">
      <c r="A62" s="996">
        <v>61</v>
      </c>
      <c r="B62" s="996" t="s">
        <v>603</v>
      </c>
      <c r="C62" s="996" t="s">
        <v>604</v>
      </c>
      <c r="F62" s="996" t="s">
        <v>637</v>
      </c>
      <c r="G62" s="972" t="s">
        <v>647</v>
      </c>
      <c r="H62" s="972" t="s">
        <v>648</v>
      </c>
      <c r="I62" s="972" t="s">
        <v>649</v>
      </c>
      <c r="J62" s="972" t="s">
        <v>650</v>
      </c>
      <c r="K62" s="972" t="s">
        <v>651</v>
      </c>
      <c r="L62" s="972" t="s">
        <v>652</v>
      </c>
      <c r="M62" s="972" t="s">
        <v>653</v>
      </c>
      <c r="N62" s="972" t="s">
        <v>654</v>
      </c>
      <c r="O62" s="972" t="s">
        <v>655</v>
      </c>
    </row>
    <row r="63" spans="1:15">
      <c r="A63" s="996">
        <v>62</v>
      </c>
      <c r="B63" s="996" t="s">
        <v>439</v>
      </c>
      <c r="C63" s="996" t="s">
        <v>605</v>
      </c>
      <c r="F63" s="996" t="str">
        <f>lista[[#Headers],[Svenska]]</f>
        <v>Svenska</v>
      </c>
      <c r="G63" s="971" t="s">
        <v>33</v>
      </c>
      <c r="H63" s="971" t="s">
        <v>144</v>
      </c>
      <c r="I63" s="971" t="s">
        <v>34</v>
      </c>
      <c r="J63" s="971" t="s">
        <v>239</v>
      </c>
      <c r="K63" s="971" t="s">
        <v>142</v>
      </c>
      <c r="L63" s="971" t="s">
        <v>165</v>
      </c>
      <c r="M63" s="971" t="s">
        <v>164</v>
      </c>
      <c r="N63" s="971" t="s">
        <v>143</v>
      </c>
      <c r="O63" s="971" t="s">
        <v>254</v>
      </c>
    </row>
    <row r="64" spans="1:15">
      <c r="A64" s="996">
        <v>63</v>
      </c>
      <c r="B64" s="996" t="s">
        <v>440</v>
      </c>
      <c r="C64" s="996" t="s">
        <v>606</v>
      </c>
      <c r="F64" s="996" t="str">
        <f>lista[[#Headers],[English]]</f>
        <v>English</v>
      </c>
      <c r="G64" s="970" t="s">
        <v>695</v>
      </c>
      <c r="H64" s="970" t="s">
        <v>696</v>
      </c>
      <c r="I64" s="970" t="s">
        <v>697</v>
      </c>
      <c r="J64" s="970" t="s">
        <v>698</v>
      </c>
      <c r="K64" s="970" t="s">
        <v>699</v>
      </c>
      <c r="L64" s="970" t="s">
        <v>700</v>
      </c>
      <c r="M64" s="970" t="s">
        <v>701</v>
      </c>
      <c r="N64" s="970" t="s">
        <v>702</v>
      </c>
      <c r="O64" s="970" t="s">
        <v>703</v>
      </c>
    </row>
    <row r="65" spans="1:15">
      <c r="A65" s="996">
        <v>64</v>
      </c>
      <c r="B65" s="996" t="s">
        <v>451</v>
      </c>
      <c r="C65" s="996" t="s">
        <v>607</v>
      </c>
    </row>
    <row r="66" spans="1:15">
      <c r="A66" s="996">
        <v>65</v>
      </c>
      <c r="B66" s="1021" t="s">
        <v>153</v>
      </c>
      <c r="C66" s="1021" t="s">
        <v>608</v>
      </c>
    </row>
    <row r="67" spans="1:15">
      <c r="A67" s="996">
        <v>66</v>
      </c>
      <c r="B67" s="996" t="s">
        <v>359</v>
      </c>
      <c r="C67" s="996" t="s">
        <v>609</v>
      </c>
      <c r="F67" s="996" t="s">
        <v>637</v>
      </c>
      <c r="G67" s="972" t="s">
        <v>647</v>
      </c>
      <c r="H67" s="972" t="s">
        <v>648</v>
      </c>
      <c r="I67" s="972" t="s">
        <v>649</v>
      </c>
      <c r="J67" s="972" t="s">
        <v>650</v>
      </c>
      <c r="K67" s="972" t="s">
        <v>651</v>
      </c>
      <c r="L67" s="972" t="s">
        <v>652</v>
      </c>
      <c r="M67" s="972" t="s">
        <v>653</v>
      </c>
      <c r="N67" s="972" t="s">
        <v>654</v>
      </c>
      <c r="O67" s="972" t="s">
        <v>655</v>
      </c>
    </row>
    <row r="68" spans="1:15">
      <c r="A68" s="996">
        <v>67</v>
      </c>
      <c r="B68" s="996" t="s">
        <v>365</v>
      </c>
      <c r="C68" s="996" t="s">
        <v>610</v>
      </c>
      <c r="F68" s="996" t="str">
        <f>lista[[#Headers],[Svenska]]</f>
        <v>Svenska</v>
      </c>
      <c r="G68" s="971" t="s">
        <v>33</v>
      </c>
      <c r="H68" s="971" t="s">
        <v>144</v>
      </c>
      <c r="I68" s="971" t="s">
        <v>34</v>
      </c>
      <c r="J68" s="971" t="s">
        <v>239</v>
      </c>
      <c r="K68" s="971" t="s">
        <v>142</v>
      </c>
      <c r="L68" s="971" t="s">
        <v>165</v>
      </c>
      <c r="M68" s="971" t="s">
        <v>164</v>
      </c>
      <c r="N68" s="971" t="s">
        <v>143</v>
      </c>
      <c r="O68" s="971" t="s">
        <v>254</v>
      </c>
    </row>
    <row r="69" spans="1:15">
      <c r="A69" s="996">
        <v>68</v>
      </c>
      <c r="B69" s="996" t="s">
        <v>429</v>
      </c>
      <c r="C69" s="996" t="s">
        <v>611</v>
      </c>
      <c r="F69" s="996" t="str">
        <f>lista[[#Headers],[English]]</f>
        <v>English</v>
      </c>
      <c r="G69" s="974" t="s">
        <v>695</v>
      </c>
      <c r="H69" s="974" t="s">
        <v>696</v>
      </c>
      <c r="I69" s="974" t="s">
        <v>697</v>
      </c>
      <c r="J69" s="974" t="s">
        <v>698</v>
      </c>
      <c r="K69" s="974" t="s">
        <v>699</v>
      </c>
      <c r="L69" s="974" t="s">
        <v>700</v>
      </c>
      <c r="M69" s="974" t="s">
        <v>701</v>
      </c>
      <c r="N69" s="974" t="s">
        <v>702</v>
      </c>
      <c r="O69" s="974" t="s">
        <v>703</v>
      </c>
    </row>
    <row r="70" spans="1:15">
      <c r="A70" s="996">
        <v>69</v>
      </c>
      <c r="B70" s="996" t="s">
        <v>294</v>
      </c>
      <c r="C70" s="996" t="s">
        <v>612</v>
      </c>
    </row>
    <row r="71" spans="1:15">
      <c r="A71" s="996">
        <v>70</v>
      </c>
      <c r="B71" s="996" t="s">
        <v>293</v>
      </c>
      <c r="C71" s="996" t="s">
        <v>613</v>
      </c>
    </row>
    <row r="72" spans="1:15">
      <c r="A72" s="996">
        <v>71</v>
      </c>
      <c r="B72" s="996" t="s">
        <v>448</v>
      </c>
      <c r="C72" s="996" t="s">
        <v>614</v>
      </c>
      <c r="F72" s="996" t="s">
        <v>637</v>
      </c>
      <c r="G72" s="972" t="s">
        <v>647</v>
      </c>
      <c r="H72" s="972" t="s">
        <v>648</v>
      </c>
      <c r="I72" s="972" t="s">
        <v>649</v>
      </c>
      <c r="J72" s="972" t="s">
        <v>650</v>
      </c>
      <c r="K72" s="972" t="s">
        <v>651</v>
      </c>
      <c r="L72" s="972" t="s">
        <v>652</v>
      </c>
      <c r="M72" s="972" t="s">
        <v>653</v>
      </c>
      <c r="N72" s="972" t="s">
        <v>654</v>
      </c>
      <c r="O72" s="972" t="s">
        <v>655</v>
      </c>
    </row>
    <row r="73" spans="1:15">
      <c r="A73" s="996">
        <v>72</v>
      </c>
      <c r="B73" s="1021" t="s">
        <v>22</v>
      </c>
      <c r="C73" s="1021" t="s">
        <v>615</v>
      </c>
      <c r="F73" s="996" t="str">
        <f>lista[[#Headers],[Svenska]]</f>
        <v>Svenska</v>
      </c>
      <c r="G73" s="971" t="s">
        <v>33</v>
      </c>
      <c r="H73" s="971" t="s">
        <v>144</v>
      </c>
      <c r="I73" s="971" t="s">
        <v>34</v>
      </c>
      <c r="J73" s="971" t="s">
        <v>239</v>
      </c>
      <c r="K73" s="971" t="s">
        <v>142</v>
      </c>
      <c r="L73" s="971" t="s">
        <v>165</v>
      </c>
      <c r="M73" s="971" t="s">
        <v>164</v>
      </c>
      <c r="N73" s="971" t="s">
        <v>143</v>
      </c>
      <c r="O73" s="971" t="s">
        <v>254</v>
      </c>
    </row>
    <row r="74" spans="1:15">
      <c r="A74" s="996">
        <v>73</v>
      </c>
      <c r="B74" s="996" t="s">
        <v>394</v>
      </c>
      <c r="C74" s="996" t="s">
        <v>616</v>
      </c>
      <c r="F74" s="996" t="str">
        <f>lista[[#Headers],[English]]</f>
        <v>English</v>
      </c>
      <c r="G74" s="974" t="s">
        <v>695</v>
      </c>
      <c r="H74" s="974" t="s">
        <v>696</v>
      </c>
      <c r="I74" s="974" t="s">
        <v>697</v>
      </c>
      <c r="J74" s="974" t="s">
        <v>698</v>
      </c>
      <c r="K74" s="974" t="s">
        <v>699</v>
      </c>
      <c r="L74" s="974" t="s">
        <v>700</v>
      </c>
      <c r="M74" s="974" t="s">
        <v>701</v>
      </c>
      <c r="N74" s="974" t="s">
        <v>702</v>
      </c>
      <c r="O74" s="974" t="s">
        <v>703</v>
      </c>
    </row>
    <row r="75" spans="1:15">
      <c r="A75" s="996">
        <v>74</v>
      </c>
      <c r="B75" s="996" t="s">
        <v>449</v>
      </c>
      <c r="C75" s="996" t="s">
        <v>617</v>
      </c>
    </row>
    <row r="76" spans="1:15">
      <c r="A76" s="996">
        <v>75</v>
      </c>
      <c r="B76" s="1021" t="s">
        <v>2</v>
      </c>
      <c r="C76" s="1021" t="s">
        <v>618</v>
      </c>
    </row>
    <row r="77" spans="1:15">
      <c r="A77" s="996">
        <v>76</v>
      </c>
      <c r="B77" s="996" t="s">
        <v>395</v>
      </c>
      <c r="C77" s="996" t="s">
        <v>619</v>
      </c>
      <c r="F77" s="996" t="s">
        <v>637</v>
      </c>
      <c r="G77" s="972" t="s">
        <v>647</v>
      </c>
      <c r="H77" s="972" t="s">
        <v>648</v>
      </c>
      <c r="I77" s="972" t="s">
        <v>649</v>
      </c>
      <c r="J77" s="975" t="s">
        <v>650</v>
      </c>
    </row>
    <row r="78" spans="1:15">
      <c r="A78" s="996">
        <v>77</v>
      </c>
      <c r="B78" s="996" t="s">
        <v>474</v>
      </c>
      <c r="C78" s="996" t="s">
        <v>620</v>
      </c>
      <c r="F78" s="996" t="str">
        <f>lista[[#Headers],[Svenska]]</f>
        <v>Svenska</v>
      </c>
      <c r="G78" s="971" t="s">
        <v>146</v>
      </c>
      <c r="H78" s="971" t="s">
        <v>31</v>
      </c>
      <c r="I78" s="971" t="s">
        <v>94</v>
      </c>
      <c r="J78" s="996" t="s">
        <v>168</v>
      </c>
    </row>
    <row r="79" spans="1:15">
      <c r="A79" s="996">
        <v>78</v>
      </c>
      <c r="B79" s="1021" t="s">
        <v>131</v>
      </c>
      <c r="C79" s="1021" t="s">
        <v>621</v>
      </c>
      <c r="F79" s="996" t="str">
        <f>lista[[#Headers],[English]]</f>
        <v>English</v>
      </c>
      <c r="G79" s="973" t="s">
        <v>671</v>
      </c>
      <c r="H79" s="973" t="s">
        <v>673</v>
      </c>
      <c r="I79" s="996" t="s">
        <v>591</v>
      </c>
      <c r="J79" s="996" t="s">
        <v>837</v>
      </c>
    </row>
    <row r="80" spans="1:15">
      <c r="A80" s="996">
        <v>79</v>
      </c>
      <c r="B80" s="996" t="s">
        <v>423</v>
      </c>
      <c r="C80" s="996" t="s">
        <v>622</v>
      </c>
    </row>
    <row r="81" spans="1:14">
      <c r="A81" s="996">
        <v>80</v>
      </c>
      <c r="B81" s="996" t="s">
        <v>422</v>
      </c>
      <c r="C81" s="996" t="s">
        <v>623</v>
      </c>
    </row>
    <row r="82" spans="1:14">
      <c r="A82" s="996">
        <v>81</v>
      </c>
      <c r="B82" s="996" t="s">
        <v>424</v>
      </c>
      <c r="C82" s="996" t="s">
        <v>624</v>
      </c>
      <c r="F82" s="996" t="s">
        <v>637</v>
      </c>
      <c r="G82" s="972" t="s">
        <v>647</v>
      </c>
      <c r="H82" s="972" t="s">
        <v>648</v>
      </c>
      <c r="I82" s="972" t="s">
        <v>649</v>
      </c>
      <c r="J82" s="972" t="s">
        <v>650</v>
      </c>
      <c r="K82" s="972" t="s">
        <v>651</v>
      </c>
      <c r="L82" s="972" t="s">
        <v>652</v>
      </c>
    </row>
    <row r="83" spans="1:14">
      <c r="A83" s="996">
        <v>82</v>
      </c>
      <c r="B83" s="996" t="s">
        <v>427</v>
      </c>
      <c r="C83" s="996" t="s">
        <v>625</v>
      </c>
      <c r="F83" s="996" t="str">
        <f>lista[[#Headers],[Svenska]]</f>
        <v>Svenska</v>
      </c>
      <c r="G83" s="971" t="s">
        <v>60</v>
      </c>
      <c r="H83" s="971" t="s">
        <v>61</v>
      </c>
      <c r="I83" s="971" t="s">
        <v>2</v>
      </c>
      <c r="J83" s="971" t="s">
        <v>75</v>
      </c>
      <c r="K83" s="971" t="s">
        <v>66</v>
      </c>
      <c r="L83" s="971" t="s">
        <v>247</v>
      </c>
    </row>
    <row r="84" spans="1:14">
      <c r="A84" s="996">
        <v>83</v>
      </c>
      <c r="B84" s="996" t="s">
        <v>468</v>
      </c>
      <c r="C84" s="996" t="s">
        <v>626</v>
      </c>
      <c r="F84" s="996" t="str">
        <f>lista[[#Headers],[English]]</f>
        <v>English</v>
      </c>
      <c r="G84" s="973" t="s">
        <v>615</v>
      </c>
      <c r="H84" s="973" t="s">
        <v>673</v>
      </c>
      <c r="I84" s="973" t="s">
        <v>618</v>
      </c>
      <c r="J84" s="973" t="s">
        <v>704</v>
      </c>
      <c r="K84" s="973" t="s">
        <v>705</v>
      </c>
      <c r="L84" s="973" t="s">
        <v>706</v>
      </c>
    </row>
    <row r="85" spans="1:14">
      <c r="A85" s="996">
        <v>84</v>
      </c>
      <c r="B85" s="996" t="s">
        <v>467</v>
      </c>
      <c r="C85" s="996" t="s">
        <v>627</v>
      </c>
      <c r="F85" s="996" t="s">
        <v>68</v>
      </c>
    </row>
    <row r="86" spans="1:14">
      <c r="A86" s="996">
        <v>85</v>
      </c>
      <c r="B86" s="996" t="s">
        <v>197</v>
      </c>
      <c r="C86" s="996" t="s">
        <v>628</v>
      </c>
    </row>
    <row r="87" spans="1:14">
      <c r="A87" s="996">
        <v>86</v>
      </c>
      <c r="B87" s="1021" t="s">
        <v>123</v>
      </c>
      <c r="C87" s="1021" t="s">
        <v>629</v>
      </c>
      <c r="F87" s="996" t="s">
        <v>637</v>
      </c>
      <c r="G87" s="972" t="s">
        <v>647</v>
      </c>
      <c r="H87" s="972" t="s">
        <v>648</v>
      </c>
      <c r="I87" s="972" t="s">
        <v>649</v>
      </c>
      <c r="J87" s="972" t="s">
        <v>650</v>
      </c>
      <c r="K87" s="972" t="s">
        <v>651</v>
      </c>
      <c r="L87" s="972" t="s">
        <v>652</v>
      </c>
      <c r="M87" s="972" t="s">
        <v>653</v>
      </c>
      <c r="N87" s="972" t="s">
        <v>654</v>
      </c>
    </row>
    <row r="88" spans="1:14">
      <c r="A88" s="996">
        <v>87</v>
      </c>
      <c r="B88" s="996" t="s">
        <v>450</v>
      </c>
      <c r="C88" s="996" t="s">
        <v>630</v>
      </c>
      <c r="F88" s="996" t="str">
        <f>lista[[#Headers],[Svenska]]</f>
        <v>Svenska</v>
      </c>
      <c r="G88" s="971" t="s">
        <v>36</v>
      </c>
      <c r="H88" s="971" t="s">
        <v>147</v>
      </c>
      <c r="I88" s="971" t="s">
        <v>66</v>
      </c>
      <c r="J88" s="971" t="s">
        <v>247</v>
      </c>
      <c r="K88" s="971" t="s">
        <v>523</v>
      </c>
      <c r="L88" s="971" t="s">
        <v>22</v>
      </c>
      <c r="M88" s="971" t="s">
        <v>148</v>
      </c>
      <c r="N88" s="971" t="s">
        <v>31</v>
      </c>
    </row>
    <row r="89" spans="1:14">
      <c r="A89" s="996">
        <v>88</v>
      </c>
      <c r="B89" s="996" t="s">
        <v>478</v>
      </c>
      <c r="C89" s="996" t="s">
        <v>635</v>
      </c>
      <c r="F89" s="996" t="str">
        <f>lista[[#Headers],[English]]</f>
        <v>English</v>
      </c>
      <c r="G89" s="973" t="s">
        <v>707</v>
      </c>
      <c r="H89" s="973" t="s">
        <v>147</v>
      </c>
      <c r="I89" s="973" t="s">
        <v>705</v>
      </c>
      <c r="J89" s="973" t="s">
        <v>706</v>
      </c>
      <c r="K89" s="973" t="s">
        <v>709</v>
      </c>
      <c r="L89" s="973" t="s">
        <v>615</v>
      </c>
      <c r="M89" s="973" t="s">
        <v>708</v>
      </c>
      <c r="N89" s="973" t="s">
        <v>673</v>
      </c>
    </row>
    <row r="90" spans="1:14">
      <c r="A90" s="996">
        <v>89</v>
      </c>
      <c r="B90" s="997" t="s">
        <v>133</v>
      </c>
      <c r="C90" s="997" t="s">
        <v>861</v>
      </c>
    </row>
    <row r="91" spans="1:14">
      <c r="A91" s="996">
        <v>90</v>
      </c>
      <c r="B91" s="1022" t="s">
        <v>947</v>
      </c>
      <c r="C91" s="1022" t="s">
        <v>948</v>
      </c>
    </row>
    <row r="92" spans="1:14">
      <c r="A92" s="996">
        <v>91</v>
      </c>
      <c r="B92" s="997" t="s">
        <v>7</v>
      </c>
      <c r="C92" s="997" t="s">
        <v>862</v>
      </c>
      <c r="F92" s="996" t="s">
        <v>637</v>
      </c>
      <c r="G92" s="972" t="s">
        <v>647</v>
      </c>
      <c r="H92" s="972" t="s">
        <v>648</v>
      </c>
      <c r="I92" s="972" t="s">
        <v>649</v>
      </c>
      <c r="J92" s="972" t="s">
        <v>650</v>
      </c>
    </row>
    <row r="93" spans="1:14">
      <c r="A93" s="996">
        <v>92</v>
      </c>
      <c r="B93" s="997" t="s">
        <v>8</v>
      </c>
      <c r="C93" s="997" t="s">
        <v>863</v>
      </c>
      <c r="F93" s="996" t="str">
        <f>lista[[#Headers],[Svenska]]</f>
        <v>Svenska</v>
      </c>
      <c r="G93" s="971" t="s">
        <v>233</v>
      </c>
      <c r="H93" s="971" t="s">
        <v>67</v>
      </c>
      <c r="I93" s="971" t="s">
        <v>3</v>
      </c>
      <c r="J93" s="971" t="s">
        <v>51</v>
      </c>
    </row>
    <row r="94" spans="1:14">
      <c r="A94" s="996">
        <v>93</v>
      </c>
      <c r="B94" s="997" t="s">
        <v>141</v>
      </c>
      <c r="C94" s="997" t="s">
        <v>591</v>
      </c>
      <c r="F94" s="996" t="str">
        <f>lista[[#Headers],[English]]</f>
        <v>English</v>
      </c>
      <c r="G94" s="973" t="s">
        <v>773</v>
      </c>
      <c r="H94" s="973" t="s">
        <v>67</v>
      </c>
      <c r="I94" s="973" t="s">
        <v>3</v>
      </c>
      <c r="J94" s="973" t="s">
        <v>629</v>
      </c>
    </row>
    <row r="95" spans="1:14">
      <c r="A95" s="996">
        <v>94</v>
      </c>
      <c r="B95" s="997" t="s">
        <v>10</v>
      </c>
      <c r="C95" s="997" t="s">
        <v>638</v>
      </c>
    </row>
    <row r="96" spans="1:14">
      <c r="A96" s="996">
        <v>95</v>
      </c>
      <c r="B96" s="997" t="s">
        <v>153</v>
      </c>
      <c r="C96" s="997" t="s">
        <v>865</v>
      </c>
    </row>
    <row r="97" spans="1:11">
      <c r="A97" s="996">
        <v>96</v>
      </c>
      <c r="B97" s="997" t="s">
        <v>229</v>
      </c>
      <c r="C97" s="997" t="s">
        <v>639</v>
      </c>
      <c r="F97" s="996" t="s">
        <v>637</v>
      </c>
      <c r="G97" s="972" t="s">
        <v>647</v>
      </c>
      <c r="H97" s="972" t="s">
        <v>648</v>
      </c>
      <c r="I97" s="972" t="s">
        <v>649</v>
      </c>
      <c r="J97" s="972" t="s">
        <v>650</v>
      </c>
    </row>
    <row r="98" spans="1:11">
      <c r="A98" s="996">
        <v>97</v>
      </c>
      <c r="B98" s="997" t="s">
        <v>145</v>
      </c>
      <c r="C98" s="997" t="s">
        <v>640</v>
      </c>
      <c r="F98" s="996" t="str">
        <f>lista[[#Headers],[Svenska]]</f>
        <v>Svenska</v>
      </c>
      <c r="G98" s="971" t="s">
        <v>252</v>
      </c>
      <c r="H98" s="971" t="s">
        <v>139</v>
      </c>
      <c r="I98" s="971" t="s">
        <v>494</v>
      </c>
      <c r="J98" s="971" t="s">
        <v>140</v>
      </c>
    </row>
    <row r="99" spans="1:11" ht="13.9">
      <c r="A99" s="996">
        <v>98</v>
      </c>
      <c r="B99" s="997" t="s">
        <v>517</v>
      </c>
      <c r="C99" s="997" t="s">
        <v>866</v>
      </c>
      <c r="F99" s="996" t="str">
        <f>lista[[#Headers],[English]]</f>
        <v>English</v>
      </c>
      <c r="G99" s="973" t="s">
        <v>710</v>
      </c>
      <c r="H99" s="973" t="s">
        <v>711</v>
      </c>
      <c r="I99" s="973" t="s">
        <v>840</v>
      </c>
      <c r="J99" s="973" t="s">
        <v>712</v>
      </c>
    </row>
    <row r="100" spans="1:11">
      <c r="A100" s="996">
        <v>99</v>
      </c>
      <c r="B100" s="997" t="s">
        <v>883</v>
      </c>
      <c r="C100" s="997" t="s">
        <v>867</v>
      </c>
    </row>
    <row r="101" spans="1:11">
      <c r="A101" s="996">
        <v>100</v>
      </c>
      <c r="B101" s="997" t="s">
        <v>13</v>
      </c>
      <c r="C101" s="997" t="s">
        <v>646</v>
      </c>
    </row>
    <row r="102" spans="1:11">
      <c r="A102" s="996">
        <v>101</v>
      </c>
      <c r="B102" s="997" t="s">
        <v>15</v>
      </c>
      <c r="C102" s="997" t="s">
        <v>868</v>
      </c>
      <c r="F102" s="996" t="s">
        <v>637</v>
      </c>
      <c r="G102" s="972" t="s">
        <v>647</v>
      </c>
      <c r="H102" s="972" t="s">
        <v>648</v>
      </c>
    </row>
    <row r="103" spans="1:11" ht="14.65">
      <c r="A103" s="996">
        <v>102</v>
      </c>
      <c r="B103" s="997" t="s">
        <v>518</v>
      </c>
      <c r="C103" s="997" t="s">
        <v>869</v>
      </c>
      <c r="F103" s="996" t="str">
        <f>lista[[#Headers],[Svenska]]</f>
        <v>Svenska</v>
      </c>
      <c r="G103" s="971" t="s">
        <v>21</v>
      </c>
      <c r="H103" s="971" t="s">
        <v>496</v>
      </c>
    </row>
    <row r="104" spans="1:11">
      <c r="A104" s="996">
        <v>103</v>
      </c>
      <c r="B104" s="997" t="s">
        <v>16</v>
      </c>
      <c r="C104" s="997" t="s">
        <v>643</v>
      </c>
      <c r="F104" s="996" t="str">
        <f>lista[[#Headers],[English]]</f>
        <v>English</v>
      </c>
      <c r="G104" s="973" t="s">
        <v>713</v>
      </c>
      <c r="H104" s="973" t="s">
        <v>839</v>
      </c>
    </row>
    <row r="105" spans="1:11">
      <c r="A105" s="996">
        <v>104</v>
      </c>
      <c r="B105" s="997" t="s">
        <v>18</v>
      </c>
      <c r="C105" s="997" t="s">
        <v>870</v>
      </c>
    </row>
    <row r="106" spans="1:11">
      <c r="A106" s="996">
        <v>105</v>
      </c>
      <c r="B106" s="997" t="s">
        <v>19</v>
      </c>
      <c r="C106" s="997" t="s">
        <v>871</v>
      </c>
    </row>
    <row r="107" spans="1:11">
      <c r="A107" s="996">
        <v>106</v>
      </c>
      <c r="B107" s="997" t="s">
        <v>74</v>
      </c>
      <c r="C107" s="997" t="s">
        <v>872</v>
      </c>
      <c r="F107" s="996" t="s">
        <v>637</v>
      </c>
      <c r="G107" s="972" t="s">
        <v>647</v>
      </c>
      <c r="H107" s="972" t="s">
        <v>648</v>
      </c>
      <c r="I107" s="975" t="s">
        <v>649</v>
      </c>
    </row>
    <row r="108" spans="1:11">
      <c r="A108" s="996">
        <v>107</v>
      </c>
      <c r="B108" s="997" t="s">
        <v>248</v>
      </c>
      <c r="C108" s="997" t="s">
        <v>873</v>
      </c>
      <c r="F108" s="996" t="str">
        <f>lista[[#Headers],[Svenska]]</f>
        <v>Svenska</v>
      </c>
      <c r="G108" s="971" t="s">
        <v>384</v>
      </c>
      <c r="H108" s="971" t="s">
        <v>62</v>
      </c>
      <c r="I108" s="996" t="s">
        <v>84</v>
      </c>
    </row>
    <row r="109" spans="1:11">
      <c r="A109" s="996">
        <v>108</v>
      </c>
      <c r="B109" s="997" t="s">
        <v>295</v>
      </c>
      <c r="C109" s="997" t="s">
        <v>669</v>
      </c>
      <c r="F109" s="996" t="str">
        <f>lista[[#Headers],[English]]</f>
        <v>English</v>
      </c>
      <c r="G109" s="973" t="s">
        <v>714</v>
      </c>
      <c r="H109" s="973" t="s">
        <v>147</v>
      </c>
      <c r="I109" s="996" t="s">
        <v>84</v>
      </c>
    </row>
    <row r="110" spans="1:11">
      <c r="A110" s="996">
        <v>109</v>
      </c>
      <c r="B110" s="997" t="s">
        <v>16</v>
      </c>
      <c r="C110" s="997" t="s">
        <v>643</v>
      </c>
    </row>
    <row r="111" spans="1:11">
      <c r="A111" s="996">
        <v>110</v>
      </c>
      <c r="B111" s="997" t="s">
        <v>154</v>
      </c>
      <c r="C111" s="997" t="s">
        <v>874</v>
      </c>
    </row>
    <row r="112" spans="1:11">
      <c r="A112" s="996">
        <v>111</v>
      </c>
      <c r="B112" s="997" t="s">
        <v>94</v>
      </c>
      <c r="C112" s="997" t="s">
        <v>591</v>
      </c>
      <c r="F112" s="996" t="s">
        <v>637</v>
      </c>
      <c r="G112" s="972" t="s">
        <v>647</v>
      </c>
      <c r="H112" s="972" t="s">
        <v>648</v>
      </c>
      <c r="I112" s="972" t="s">
        <v>649</v>
      </c>
      <c r="J112" s="972" t="s">
        <v>650</v>
      </c>
      <c r="K112" s="972" t="s">
        <v>651</v>
      </c>
    </row>
    <row r="113" spans="1:14">
      <c r="A113" s="996">
        <v>112</v>
      </c>
      <c r="B113" s="997" t="s">
        <v>249</v>
      </c>
      <c r="C113" s="997" t="s">
        <v>638</v>
      </c>
      <c r="F113" s="996" t="str">
        <f>lista[[#Headers],[Svenska]]</f>
        <v>Svenska</v>
      </c>
      <c r="G113" s="971" t="s">
        <v>11</v>
      </c>
      <c r="H113" s="971" t="s">
        <v>20</v>
      </c>
      <c r="I113" s="971" t="s">
        <v>132</v>
      </c>
      <c r="J113" s="971" t="s">
        <v>166</v>
      </c>
      <c r="K113" s="971" t="s">
        <v>216</v>
      </c>
    </row>
    <row r="114" spans="1:14">
      <c r="A114" s="996">
        <v>113</v>
      </c>
      <c r="B114" s="997" t="s">
        <v>146</v>
      </c>
      <c r="C114" s="997" t="s">
        <v>676</v>
      </c>
      <c r="F114" s="996" t="str">
        <f>lista[[#Headers],[English]]</f>
        <v>English</v>
      </c>
      <c r="G114" s="973" t="s">
        <v>674</v>
      </c>
      <c r="H114" s="973" t="s">
        <v>715</v>
      </c>
      <c r="I114" s="973" t="s">
        <v>716</v>
      </c>
      <c r="J114" s="973" t="s">
        <v>717</v>
      </c>
      <c r="K114" s="973" t="s">
        <v>718</v>
      </c>
    </row>
    <row r="115" spans="1:14">
      <c r="A115" s="996">
        <v>114</v>
      </c>
      <c r="B115" s="997" t="s">
        <v>230</v>
      </c>
      <c r="C115" s="997" t="s">
        <v>639</v>
      </c>
    </row>
    <row r="116" spans="1:14">
      <c r="A116" s="996">
        <v>115</v>
      </c>
      <c r="B116" s="997" t="s">
        <v>145</v>
      </c>
      <c r="C116" s="997" t="s">
        <v>640</v>
      </c>
    </row>
    <row r="117" spans="1:14">
      <c r="A117" s="996">
        <v>116</v>
      </c>
      <c r="B117" s="997" t="s">
        <v>23</v>
      </c>
      <c r="C117" s="997" t="s">
        <v>672</v>
      </c>
      <c r="F117" s="996" t="s">
        <v>637</v>
      </c>
      <c r="G117" s="972" t="s">
        <v>647</v>
      </c>
      <c r="H117" s="972" t="s">
        <v>648</v>
      </c>
      <c r="I117" s="972" t="s">
        <v>649</v>
      </c>
      <c r="J117" s="972" t="s">
        <v>650</v>
      </c>
      <c r="K117" s="972" t="s">
        <v>651</v>
      </c>
      <c r="L117" s="972" t="s">
        <v>652</v>
      </c>
      <c r="M117" s="975" t="s">
        <v>653</v>
      </c>
      <c r="N117" s="975" t="s">
        <v>654</v>
      </c>
    </row>
    <row r="118" spans="1:14">
      <c r="A118" s="996">
        <v>117</v>
      </c>
      <c r="B118" s="997" t="s">
        <v>12</v>
      </c>
      <c r="C118" s="997" t="s">
        <v>673</v>
      </c>
      <c r="F118" s="996" t="str">
        <f>lista[[#Headers],[Svenska]]</f>
        <v>Svenska</v>
      </c>
      <c r="G118" s="971" t="s">
        <v>13</v>
      </c>
      <c r="H118" s="971" t="s">
        <v>15</v>
      </c>
      <c r="I118" s="971" t="s">
        <v>37</v>
      </c>
      <c r="J118" s="971" t="s">
        <v>163</v>
      </c>
      <c r="K118" s="971" t="s">
        <v>38</v>
      </c>
      <c r="L118" s="971" t="s">
        <v>167</v>
      </c>
      <c r="M118" s="971" t="s">
        <v>16</v>
      </c>
      <c r="N118" s="971" t="s">
        <v>39</v>
      </c>
    </row>
    <row r="119" spans="1:14">
      <c r="A119" s="996">
        <v>118</v>
      </c>
      <c r="B119" s="997" t="s">
        <v>16</v>
      </c>
      <c r="C119" s="997" t="s">
        <v>643</v>
      </c>
      <c r="F119" s="996" t="str">
        <f>lista[[#Headers],[English]]</f>
        <v>English</v>
      </c>
      <c r="G119" s="973" t="s">
        <v>646</v>
      </c>
      <c r="H119" s="973" t="s">
        <v>641</v>
      </c>
      <c r="I119" s="973" t="s">
        <v>719</v>
      </c>
      <c r="J119" s="973" t="s">
        <v>720</v>
      </c>
      <c r="K119" s="973" t="s">
        <v>721</v>
      </c>
      <c r="L119" s="973" t="s">
        <v>722</v>
      </c>
      <c r="M119" s="973" t="s">
        <v>643</v>
      </c>
      <c r="N119" s="973" t="s">
        <v>39</v>
      </c>
    </row>
    <row r="120" spans="1:14">
      <c r="A120" s="996">
        <v>119</v>
      </c>
      <c r="B120" s="997" t="s">
        <v>26</v>
      </c>
      <c r="C120" s="997" t="s">
        <v>875</v>
      </c>
    </row>
    <row r="121" spans="1:14">
      <c r="A121" s="996">
        <v>120</v>
      </c>
      <c r="B121" s="997" t="s">
        <v>156</v>
      </c>
      <c r="C121" s="997" t="s">
        <v>876</v>
      </c>
    </row>
    <row r="122" spans="1:14">
      <c r="A122" s="996">
        <v>121</v>
      </c>
      <c r="B122" s="997" t="s">
        <v>220</v>
      </c>
      <c r="C122" s="997" t="s">
        <v>878</v>
      </c>
      <c r="F122" s="996" t="s">
        <v>637</v>
      </c>
      <c r="G122" s="972" t="s">
        <v>647</v>
      </c>
      <c r="H122" s="972" t="s">
        <v>648</v>
      </c>
      <c r="I122" s="972" t="s">
        <v>649</v>
      </c>
      <c r="J122" s="972" t="s">
        <v>650</v>
      </c>
      <c r="K122" s="972" t="s">
        <v>651</v>
      </c>
    </row>
    <row r="123" spans="1:14">
      <c r="A123" s="996">
        <v>122</v>
      </c>
      <c r="B123" s="997" t="s">
        <v>492</v>
      </c>
      <c r="C123" s="997" t="s">
        <v>882</v>
      </c>
      <c r="F123" s="996" t="str">
        <f>lista[[#Headers],[Svenska]]</f>
        <v>Svenska</v>
      </c>
      <c r="G123" s="971" t="s">
        <v>141</v>
      </c>
      <c r="H123" s="971" t="s">
        <v>240</v>
      </c>
      <c r="I123" s="971" t="s">
        <v>146</v>
      </c>
      <c r="J123" s="971" t="s">
        <v>22</v>
      </c>
      <c r="K123" s="971" t="s">
        <v>145</v>
      </c>
    </row>
    <row r="124" spans="1:14">
      <c r="A124" s="996">
        <v>123</v>
      </c>
      <c r="B124" s="997" t="s">
        <v>516</v>
      </c>
      <c r="C124" s="997" t="s">
        <v>879</v>
      </c>
      <c r="F124" s="996" t="str">
        <f>lista[[#Headers],[English]]</f>
        <v>English</v>
      </c>
      <c r="G124" s="973" t="s">
        <v>591</v>
      </c>
      <c r="H124" s="973" t="s">
        <v>723</v>
      </c>
      <c r="I124" s="973" t="s">
        <v>671</v>
      </c>
      <c r="J124" s="973" t="s">
        <v>615</v>
      </c>
      <c r="K124" s="973" t="s">
        <v>640</v>
      </c>
    </row>
    <row r="125" spans="1:14">
      <c r="A125" s="996">
        <v>124</v>
      </c>
      <c r="B125" s="997" t="s">
        <v>884</v>
      </c>
      <c r="C125" s="997" t="s">
        <v>880</v>
      </c>
    </row>
    <row r="126" spans="1:14">
      <c r="A126" s="996">
        <v>125</v>
      </c>
      <c r="B126" s="997" t="s">
        <v>885</v>
      </c>
      <c r="C126" s="997" t="s">
        <v>881</v>
      </c>
    </row>
    <row r="127" spans="1:14">
      <c r="A127" s="996">
        <v>126</v>
      </c>
      <c r="B127" s="997" t="s">
        <v>155</v>
      </c>
      <c r="C127" s="997" t="s">
        <v>864</v>
      </c>
      <c r="F127" s="996" t="s">
        <v>637</v>
      </c>
      <c r="G127" s="972" t="s">
        <v>647</v>
      </c>
      <c r="H127" s="972" t="s">
        <v>648</v>
      </c>
      <c r="I127" s="972" t="s">
        <v>649</v>
      </c>
    </row>
    <row r="128" spans="1:14">
      <c r="A128" s="996">
        <v>127</v>
      </c>
      <c r="B128" s="997" t="s">
        <v>11</v>
      </c>
      <c r="C128" s="997" t="s">
        <v>674</v>
      </c>
      <c r="F128" s="996" t="str">
        <f>lista[[#Headers],[Svenska]]</f>
        <v>Svenska</v>
      </c>
      <c r="G128" s="971" t="s">
        <v>285</v>
      </c>
      <c r="H128" s="971" t="s">
        <v>286</v>
      </c>
      <c r="I128" s="971" t="s">
        <v>287</v>
      </c>
    </row>
    <row r="129" spans="1:16">
      <c r="A129" s="996">
        <v>128</v>
      </c>
      <c r="B129" s="997" t="s">
        <v>24</v>
      </c>
      <c r="C129" s="997" t="s">
        <v>591</v>
      </c>
      <c r="F129" s="996" t="str">
        <f>lista[[#Headers],[English]]</f>
        <v>English</v>
      </c>
      <c r="G129" s="973" t="s">
        <v>724</v>
      </c>
      <c r="H129" s="973" t="s">
        <v>725</v>
      </c>
      <c r="I129" s="973" t="s">
        <v>726</v>
      </c>
    </row>
    <row r="130" spans="1:16">
      <c r="A130" s="996">
        <v>129</v>
      </c>
      <c r="B130" s="997" t="s">
        <v>10</v>
      </c>
      <c r="C130" s="997" t="s">
        <v>638</v>
      </c>
    </row>
    <row r="131" spans="1:16">
      <c r="A131" s="996">
        <v>130</v>
      </c>
      <c r="B131" s="997" t="s">
        <v>146</v>
      </c>
      <c r="C131" s="997" t="s">
        <v>676</v>
      </c>
    </row>
    <row r="132" spans="1:16">
      <c r="A132" s="996">
        <v>131</v>
      </c>
      <c r="B132" s="997" t="s">
        <v>230</v>
      </c>
      <c r="C132" s="997" t="s">
        <v>639</v>
      </c>
      <c r="F132" s="996" t="s">
        <v>637</v>
      </c>
      <c r="G132" s="972" t="s">
        <v>647</v>
      </c>
      <c r="H132" s="972" t="s">
        <v>648</v>
      </c>
      <c r="I132" s="972" t="s">
        <v>649</v>
      </c>
      <c r="J132" s="972" t="s">
        <v>650</v>
      </c>
      <c r="K132" s="972" t="s">
        <v>651</v>
      </c>
    </row>
    <row r="133" spans="1:16">
      <c r="A133" s="996">
        <v>132</v>
      </c>
      <c r="B133" s="997" t="s">
        <v>145</v>
      </c>
      <c r="C133" s="997" t="s">
        <v>640</v>
      </c>
      <c r="F133" s="996" t="str">
        <f>lista[[#Headers],[Svenska]]</f>
        <v>Svenska</v>
      </c>
      <c r="G133" s="971" t="s">
        <v>13</v>
      </c>
      <c r="H133" s="971" t="s">
        <v>15</v>
      </c>
      <c r="I133" s="971" t="s">
        <v>94</v>
      </c>
      <c r="J133" s="971" t="s">
        <v>1</v>
      </c>
      <c r="K133" s="971" t="s">
        <v>95</v>
      </c>
    </row>
    <row r="134" spans="1:16">
      <c r="A134" s="996">
        <v>133</v>
      </c>
      <c r="B134" s="997" t="s">
        <v>14</v>
      </c>
      <c r="C134" s="997" t="s">
        <v>672</v>
      </c>
      <c r="F134" s="996" t="str">
        <f>lista[[#Headers],[English]]</f>
        <v>English</v>
      </c>
      <c r="G134" s="973" t="s">
        <v>646</v>
      </c>
      <c r="H134" s="973" t="s">
        <v>641</v>
      </c>
      <c r="I134" s="973" t="s">
        <v>591</v>
      </c>
      <c r="J134" s="973" t="s">
        <v>727</v>
      </c>
      <c r="K134" s="973" t="s">
        <v>728</v>
      </c>
    </row>
    <row r="135" spans="1:16">
      <c r="A135" s="996">
        <v>134</v>
      </c>
      <c r="B135" s="997" t="s">
        <v>12</v>
      </c>
      <c r="C135" s="997" t="s">
        <v>673</v>
      </c>
    </row>
    <row r="136" spans="1:16">
      <c r="A136" s="996">
        <v>135</v>
      </c>
      <c r="B136" s="997" t="s">
        <v>17</v>
      </c>
      <c r="C136" s="997" t="s">
        <v>643</v>
      </c>
    </row>
    <row r="137" spans="1:16">
      <c r="A137" s="996">
        <v>136</v>
      </c>
      <c r="B137" s="997" t="s">
        <v>20</v>
      </c>
      <c r="C137" s="997" t="s">
        <v>829</v>
      </c>
      <c r="F137" s="996" t="s">
        <v>637</v>
      </c>
      <c r="G137" s="972" t="s">
        <v>647</v>
      </c>
      <c r="H137" s="972" t="s">
        <v>648</v>
      </c>
      <c r="I137" s="972" t="s">
        <v>649</v>
      </c>
      <c r="J137" s="972" t="s">
        <v>650</v>
      </c>
      <c r="K137" s="972" t="s">
        <v>651</v>
      </c>
      <c r="L137" s="972" t="s">
        <v>652</v>
      </c>
      <c r="M137" s="975" t="s">
        <v>653</v>
      </c>
      <c r="N137" s="975" t="s">
        <v>654</v>
      </c>
    </row>
    <row r="138" spans="1:16">
      <c r="A138" s="996">
        <v>137</v>
      </c>
      <c r="B138" s="997" t="s">
        <v>148</v>
      </c>
      <c r="C138" s="997" t="s">
        <v>708</v>
      </c>
      <c r="F138" s="996" t="str">
        <f>lista[[#Headers],[Svenska]]</f>
        <v>Svenska</v>
      </c>
      <c r="G138" s="971" t="s">
        <v>13</v>
      </c>
      <c r="H138" s="971" t="s">
        <v>37</v>
      </c>
      <c r="I138" s="971" t="s">
        <v>41</v>
      </c>
      <c r="J138" s="971" t="s">
        <v>38</v>
      </c>
      <c r="K138" s="971" t="s">
        <v>42</v>
      </c>
      <c r="L138" s="971" t="s">
        <v>65</v>
      </c>
      <c r="M138" s="996" t="s">
        <v>15</v>
      </c>
      <c r="N138" s="996" t="s">
        <v>81</v>
      </c>
    </row>
    <row r="139" spans="1:16">
      <c r="A139" s="996">
        <v>138</v>
      </c>
      <c r="B139" s="997" t="s">
        <v>146</v>
      </c>
      <c r="C139" s="997" t="s">
        <v>676</v>
      </c>
      <c r="F139" s="996" t="str">
        <f>lista[[#Headers],[English]]</f>
        <v>English</v>
      </c>
      <c r="G139" s="973" t="s">
        <v>646</v>
      </c>
      <c r="H139" s="973" t="s">
        <v>719</v>
      </c>
      <c r="I139" s="973" t="s">
        <v>722</v>
      </c>
      <c r="J139" s="973" t="s">
        <v>721</v>
      </c>
      <c r="K139" s="973" t="s">
        <v>720</v>
      </c>
      <c r="L139" s="973" t="s">
        <v>729</v>
      </c>
      <c r="M139" s="996" t="s">
        <v>641</v>
      </c>
      <c r="N139" s="996" t="s">
        <v>730</v>
      </c>
    </row>
    <row r="140" spans="1:16">
      <c r="A140" s="996">
        <v>139</v>
      </c>
      <c r="B140" s="997" t="s">
        <v>22</v>
      </c>
      <c r="C140" s="997" t="s">
        <v>615</v>
      </c>
    </row>
    <row r="141" spans="1:16">
      <c r="A141" s="996">
        <v>140</v>
      </c>
      <c r="B141" s="997" t="s">
        <v>12</v>
      </c>
      <c r="C141" s="997" t="s">
        <v>673</v>
      </c>
    </row>
    <row r="142" spans="1:16">
      <c r="A142" s="996">
        <v>141</v>
      </c>
      <c r="B142" s="997" t="s">
        <v>16</v>
      </c>
      <c r="C142" s="997" t="s">
        <v>643</v>
      </c>
      <c r="F142" s="996" t="s">
        <v>637</v>
      </c>
      <c r="G142" s="972" t="s">
        <v>647</v>
      </c>
      <c r="H142" s="972" t="s">
        <v>648</v>
      </c>
      <c r="I142" s="972" t="s">
        <v>649</v>
      </c>
      <c r="J142" s="972" t="s">
        <v>650</v>
      </c>
      <c r="K142" s="972" t="s">
        <v>651</v>
      </c>
      <c r="L142" s="972" t="s">
        <v>652</v>
      </c>
      <c r="M142" s="975" t="s">
        <v>653</v>
      </c>
      <c r="N142" s="975" t="s">
        <v>654</v>
      </c>
      <c r="O142" s="975" t="s">
        <v>655</v>
      </c>
      <c r="P142" s="975" t="s">
        <v>656</v>
      </c>
    </row>
    <row r="143" spans="1:16">
      <c r="A143" s="996">
        <v>142</v>
      </c>
      <c r="B143" s="997" t="s">
        <v>132</v>
      </c>
      <c r="C143" s="997" t="s">
        <v>553</v>
      </c>
      <c r="F143" s="996" t="str">
        <f>lista[[#Headers],[Svenska]]</f>
        <v>Svenska</v>
      </c>
      <c r="G143" s="971" t="s">
        <v>5</v>
      </c>
      <c r="H143" s="971" t="s">
        <v>87</v>
      </c>
      <c r="I143" s="971" t="s">
        <v>88</v>
      </c>
      <c r="J143" s="971" t="s">
        <v>89</v>
      </c>
      <c r="K143" s="971" t="s">
        <v>101</v>
      </c>
      <c r="L143" s="971" t="s">
        <v>90</v>
      </c>
      <c r="M143" s="996" t="s">
        <v>91</v>
      </c>
      <c r="N143" s="996" t="s">
        <v>92</v>
      </c>
      <c r="O143" s="1004" t="s">
        <v>85</v>
      </c>
      <c r="P143" s="1004" t="s">
        <v>86</v>
      </c>
    </row>
    <row r="144" spans="1:16">
      <c r="A144" s="996">
        <v>143</v>
      </c>
      <c r="B144" s="997" t="s">
        <v>24</v>
      </c>
      <c r="C144" s="997" t="s">
        <v>591</v>
      </c>
      <c r="F144" s="996" t="str">
        <f>lista[[#Headers],[English]]</f>
        <v>English</v>
      </c>
      <c r="G144" s="973" t="s">
        <v>736</v>
      </c>
      <c r="H144" s="973" t="s">
        <v>731</v>
      </c>
      <c r="I144" s="973" t="s">
        <v>732</v>
      </c>
      <c r="J144" s="973" t="s">
        <v>89</v>
      </c>
      <c r="K144" s="973" t="s">
        <v>778</v>
      </c>
      <c r="L144" s="973" t="s">
        <v>733</v>
      </c>
      <c r="M144" s="996" t="s">
        <v>734</v>
      </c>
      <c r="N144" s="996" t="s">
        <v>735</v>
      </c>
      <c r="O144" s="1004" t="s">
        <v>931</v>
      </c>
      <c r="P144" s="1004" t="s">
        <v>932</v>
      </c>
    </row>
    <row r="145" spans="1:12">
      <c r="A145" s="996">
        <v>144</v>
      </c>
      <c r="B145" s="997" t="s">
        <v>10</v>
      </c>
      <c r="C145" s="997" t="s">
        <v>638</v>
      </c>
    </row>
    <row r="146" spans="1:12">
      <c r="A146" s="996">
        <v>145</v>
      </c>
      <c r="B146" s="997" t="s">
        <v>146</v>
      </c>
      <c r="C146" s="997" t="s">
        <v>676</v>
      </c>
    </row>
    <row r="147" spans="1:12">
      <c r="A147" s="996">
        <v>146</v>
      </c>
      <c r="B147" s="997" t="s">
        <v>229</v>
      </c>
      <c r="C147" s="997" t="s">
        <v>639</v>
      </c>
      <c r="F147" s="996" t="s">
        <v>637</v>
      </c>
      <c r="G147" s="972" t="s">
        <v>647</v>
      </c>
      <c r="H147" s="972" t="s">
        <v>648</v>
      </c>
      <c r="I147" s="972" t="s">
        <v>649</v>
      </c>
      <c r="J147" s="972" t="s">
        <v>650</v>
      </c>
    </row>
    <row r="148" spans="1:12">
      <c r="A148" s="996">
        <v>147</v>
      </c>
      <c r="B148" s="997" t="s">
        <v>145</v>
      </c>
      <c r="C148" s="997" t="s">
        <v>640</v>
      </c>
      <c r="F148" s="996" t="str">
        <f>lista[[#Headers],[Svenska]]</f>
        <v>Svenska</v>
      </c>
      <c r="G148" s="971" t="s">
        <v>283</v>
      </c>
      <c r="H148" s="971" t="s">
        <v>284</v>
      </c>
      <c r="I148" s="971" t="s">
        <v>241</v>
      </c>
      <c r="J148" s="971" t="s">
        <v>93</v>
      </c>
    </row>
    <row r="149" spans="1:12">
      <c r="A149" s="996">
        <v>148</v>
      </c>
      <c r="B149" s="997" t="s">
        <v>23</v>
      </c>
      <c r="C149" s="997" t="s">
        <v>672</v>
      </c>
      <c r="F149" s="996" t="str">
        <f>lista[[#Headers],[English]]</f>
        <v>English</v>
      </c>
      <c r="G149" s="973" t="s">
        <v>737</v>
      </c>
      <c r="H149" s="973" t="s">
        <v>738</v>
      </c>
      <c r="I149" s="973" t="s">
        <v>739</v>
      </c>
      <c r="J149" s="973" t="s">
        <v>740</v>
      </c>
    </row>
    <row r="150" spans="1:12">
      <c r="A150" s="996">
        <v>149</v>
      </c>
      <c r="B150" s="997" t="s">
        <v>12</v>
      </c>
      <c r="C150" s="997" t="s">
        <v>673</v>
      </c>
    </row>
    <row r="151" spans="1:12">
      <c r="A151" s="996">
        <v>150</v>
      </c>
      <c r="B151" s="997" t="s">
        <v>17</v>
      </c>
      <c r="C151" s="997" t="s">
        <v>643</v>
      </c>
    </row>
    <row r="152" spans="1:12">
      <c r="A152" s="996">
        <v>151</v>
      </c>
      <c r="B152" s="997" t="s">
        <v>25</v>
      </c>
      <c r="C152" s="997" t="s">
        <v>877</v>
      </c>
      <c r="F152" s="996" t="s">
        <v>637</v>
      </c>
      <c r="G152" s="972" t="s">
        <v>647</v>
      </c>
      <c r="H152" s="972" t="s">
        <v>648</v>
      </c>
      <c r="I152" s="972" t="s">
        <v>649</v>
      </c>
      <c r="J152" s="972" t="s">
        <v>650</v>
      </c>
    </row>
    <row r="153" spans="1:12">
      <c r="A153" s="997">
        <v>152</v>
      </c>
      <c r="B153" s="997" t="s">
        <v>133</v>
      </c>
      <c r="C153" s="997" t="s">
        <v>861</v>
      </c>
      <c r="F153" s="996" t="str">
        <f>lista[[#Headers],[Svenska]]</f>
        <v>Svenska</v>
      </c>
      <c r="G153" s="971" t="s">
        <v>149</v>
      </c>
      <c r="H153" s="971" t="s">
        <v>150</v>
      </c>
      <c r="I153" s="971" t="s">
        <v>151</v>
      </c>
      <c r="J153" s="971" t="s">
        <v>152</v>
      </c>
    </row>
    <row r="154" spans="1:12">
      <c r="A154" s="997">
        <v>153</v>
      </c>
      <c r="B154" s="997" t="s">
        <v>366</v>
      </c>
      <c r="C154" s="997" t="s">
        <v>546</v>
      </c>
      <c r="F154" s="996" t="str">
        <f>lista[[#Headers],[English]]</f>
        <v>English</v>
      </c>
      <c r="G154" s="973" t="s">
        <v>741</v>
      </c>
      <c r="H154" s="973" t="s">
        <v>742</v>
      </c>
      <c r="I154" s="973" t="s">
        <v>743</v>
      </c>
      <c r="J154" s="973" t="s">
        <v>744</v>
      </c>
    </row>
    <row r="155" spans="1:12">
      <c r="A155" s="996">
        <v>154</v>
      </c>
      <c r="B155" s="997" t="s">
        <v>158</v>
      </c>
      <c r="C155" s="997" t="s">
        <v>158</v>
      </c>
    </row>
    <row r="156" spans="1:12">
      <c r="A156" s="997">
        <v>155</v>
      </c>
      <c r="B156" s="997" t="s">
        <v>369</v>
      </c>
      <c r="C156" s="997" t="s">
        <v>545</v>
      </c>
    </row>
    <row r="157" spans="1:12">
      <c r="A157" s="997">
        <v>156</v>
      </c>
      <c r="B157" s="997" t="s">
        <v>438</v>
      </c>
      <c r="C157" s="997" t="s">
        <v>886</v>
      </c>
      <c r="F157" s="996" t="s">
        <v>637</v>
      </c>
      <c r="G157" s="972" t="s">
        <v>647</v>
      </c>
      <c r="H157" s="972" t="s">
        <v>648</v>
      </c>
      <c r="I157" s="972" t="s">
        <v>649</v>
      </c>
      <c r="J157" s="972" t="s">
        <v>650</v>
      </c>
      <c r="K157" s="972" t="s">
        <v>651</v>
      </c>
      <c r="L157" s="972" t="s">
        <v>652</v>
      </c>
    </row>
    <row r="158" spans="1:12">
      <c r="A158" s="996">
        <v>157</v>
      </c>
      <c r="B158" s="997" t="s">
        <v>381</v>
      </c>
      <c r="C158" s="997" t="s">
        <v>887</v>
      </c>
      <c r="F158" s="996" t="str">
        <f>lista[[#Headers],[Svenska]]</f>
        <v>Svenska</v>
      </c>
      <c r="G158" s="971" t="s">
        <v>405</v>
      </c>
      <c r="H158" s="971" t="s">
        <v>406</v>
      </c>
      <c r="I158" s="971" t="s">
        <v>407</v>
      </c>
      <c r="J158" s="971" t="s">
        <v>408</v>
      </c>
      <c r="K158" s="971" t="s">
        <v>409</v>
      </c>
      <c r="L158" s="971" t="s">
        <v>410</v>
      </c>
    </row>
    <row r="159" spans="1:12">
      <c r="A159" s="997">
        <v>158</v>
      </c>
      <c r="B159" s="997" t="s">
        <v>469</v>
      </c>
      <c r="C159" s="997" t="s">
        <v>953</v>
      </c>
      <c r="F159" s="996" t="str">
        <f>lista[[#Headers],[English]]</f>
        <v>English</v>
      </c>
      <c r="G159" s="973" t="s">
        <v>746</v>
      </c>
      <c r="H159" s="973" t="s">
        <v>747</v>
      </c>
      <c r="I159" s="973" t="s">
        <v>748</v>
      </c>
      <c r="J159" s="973" t="s">
        <v>749</v>
      </c>
      <c r="K159" s="973" t="s">
        <v>750</v>
      </c>
      <c r="L159" s="973" t="s">
        <v>751</v>
      </c>
    </row>
    <row r="160" spans="1:12">
      <c r="A160" s="997">
        <v>159</v>
      </c>
      <c r="B160" s="997" t="s">
        <v>470</v>
      </c>
      <c r="C160" s="997" t="s">
        <v>954</v>
      </c>
    </row>
    <row r="161" spans="1:14">
      <c r="A161" s="996">
        <v>160</v>
      </c>
      <c r="B161" s="997" t="s">
        <v>383</v>
      </c>
      <c r="C161" s="997" t="s">
        <v>888</v>
      </c>
    </row>
    <row r="162" spans="1:14">
      <c r="A162" s="997">
        <v>161</v>
      </c>
      <c r="B162" s="997" t="s">
        <v>378</v>
      </c>
      <c r="C162" s="997" t="s">
        <v>889</v>
      </c>
      <c r="F162" s="996" t="s">
        <v>637</v>
      </c>
      <c r="G162" s="976" t="s">
        <v>647</v>
      </c>
      <c r="H162" s="976" t="s">
        <v>648</v>
      </c>
      <c r="I162" s="976" t="s">
        <v>649</v>
      </c>
      <c r="J162" s="976" t="s">
        <v>650</v>
      </c>
      <c r="K162" s="976" t="s">
        <v>651</v>
      </c>
      <c r="L162" s="976" t="s">
        <v>652</v>
      </c>
      <c r="M162" s="976" t="s">
        <v>653</v>
      </c>
      <c r="N162" s="976" t="s">
        <v>654</v>
      </c>
    </row>
    <row r="163" spans="1:14">
      <c r="A163" s="997">
        <v>162</v>
      </c>
      <c r="B163" s="997" t="s">
        <v>379</v>
      </c>
      <c r="C163" s="997" t="s">
        <v>890</v>
      </c>
      <c r="F163" s="996" t="str">
        <f>lista[[#Headers],[Svenska]]</f>
        <v>Svenska</v>
      </c>
      <c r="G163" s="971" t="s">
        <v>414</v>
      </c>
      <c r="H163" s="971" t="s">
        <v>452</v>
      </c>
      <c r="I163" s="971" t="s">
        <v>453</v>
      </c>
      <c r="J163" s="971" t="s">
        <v>454</v>
      </c>
      <c r="K163" s="971" t="s">
        <v>411</v>
      </c>
      <c r="L163" s="971" t="s">
        <v>405</v>
      </c>
      <c r="M163" s="971" t="s">
        <v>406</v>
      </c>
      <c r="N163" s="971" t="s">
        <v>407</v>
      </c>
    </row>
    <row r="164" spans="1:14">
      <c r="A164" s="996">
        <v>163</v>
      </c>
      <c r="B164" s="997" t="s">
        <v>371</v>
      </c>
      <c r="C164" s="997" t="s">
        <v>891</v>
      </c>
      <c r="F164" s="996" t="str">
        <f>lista[[#Headers],[English]]</f>
        <v>English</v>
      </c>
      <c r="G164" s="970" t="s">
        <v>752</v>
      </c>
      <c r="H164" s="970" t="s">
        <v>753</v>
      </c>
      <c r="I164" s="970" t="s">
        <v>754</v>
      </c>
      <c r="J164" s="970" t="s">
        <v>755</v>
      </c>
      <c r="K164" s="970" t="s">
        <v>756</v>
      </c>
      <c r="L164" s="970" t="s">
        <v>933</v>
      </c>
      <c r="M164" s="970" t="s">
        <v>934</v>
      </c>
      <c r="N164" s="970" t="s">
        <v>935</v>
      </c>
    </row>
    <row r="165" spans="1:14">
      <c r="A165" s="997">
        <v>164</v>
      </c>
      <c r="B165" s="997" t="s">
        <v>382</v>
      </c>
      <c r="C165" s="997" t="s">
        <v>892</v>
      </c>
    </row>
    <row r="166" spans="1:14">
      <c r="A166" s="997">
        <v>165</v>
      </c>
      <c r="B166" s="997" t="s">
        <v>906</v>
      </c>
      <c r="C166" s="997" t="s">
        <v>893</v>
      </c>
      <c r="D166" s="996" t="s">
        <v>936</v>
      </c>
    </row>
    <row r="167" spans="1:14">
      <c r="A167" s="996">
        <v>166</v>
      </c>
      <c r="B167" s="997" t="s">
        <v>157</v>
      </c>
      <c r="C167" s="997" t="s">
        <v>894</v>
      </c>
      <c r="F167" s="996" t="s">
        <v>637</v>
      </c>
      <c r="G167" s="976" t="s">
        <v>647</v>
      </c>
      <c r="H167" s="976" t="s">
        <v>648</v>
      </c>
      <c r="I167" s="976" t="s">
        <v>649</v>
      </c>
      <c r="J167" s="976" t="s">
        <v>650</v>
      </c>
      <c r="K167" s="976" t="s">
        <v>651</v>
      </c>
      <c r="L167" s="976" t="s">
        <v>652</v>
      </c>
      <c r="M167" s="976" t="s">
        <v>653</v>
      </c>
      <c r="N167" s="976" t="s">
        <v>654</v>
      </c>
    </row>
    <row r="168" spans="1:14">
      <c r="A168" s="997">
        <v>167</v>
      </c>
      <c r="B168" s="997" t="s">
        <v>380</v>
      </c>
      <c r="C168" s="997" t="s">
        <v>895</v>
      </c>
      <c r="F168" s="996" t="str">
        <f>lista[[#Headers],[Svenska]]</f>
        <v>Svenska</v>
      </c>
      <c r="G168" s="971" t="s">
        <v>414</v>
      </c>
      <c r="H168" s="971" t="s">
        <v>452</v>
      </c>
      <c r="I168" s="971" t="s">
        <v>453</v>
      </c>
      <c r="J168" s="971" t="s">
        <v>454</v>
      </c>
      <c r="K168" s="971" t="s">
        <v>411</v>
      </c>
      <c r="L168" s="971" t="s">
        <v>408</v>
      </c>
      <c r="M168" s="971" t="s">
        <v>409</v>
      </c>
      <c r="N168" s="971" t="s">
        <v>410</v>
      </c>
    </row>
    <row r="169" spans="1:14">
      <c r="A169" s="997">
        <v>168</v>
      </c>
      <c r="B169" s="997" t="s">
        <v>371</v>
      </c>
      <c r="C169" s="997" t="s">
        <v>891</v>
      </c>
      <c r="F169" s="996" t="str">
        <f>lista[[#Headers],[English]]</f>
        <v>English</v>
      </c>
      <c r="G169" s="970" t="s">
        <v>752</v>
      </c>
      <c r="H169" s="970" t="s">
        <v>753</v>
      </c>
      <c r="I169" s="970" t="s">
        <v>754</v>
      </c>
      <c r="J169" s="970" t="s">
        <v>755</v>
      </c>
      <c r="K169" s="970" t="s">
        <v>756</v>
      </c>
      <c r="L169" s="970" t="s">
        <v>749</v>
      </c>
      <c r="M169" s="970" t="s">
        <v>750</v>
      </c>
      <c r="N169" s="970" t="s">
        <v>751</v>
      </c>
    </row>
    <row r="170" spans="1:14">
      <c r="A170" s="996">
        <v>169</v>
      </c>
      <c r="B170" s="997" t="s">
        <v>377</v>
      </c>
      <c r="C170" s="997" t="s">
        <v>896</v>
      </c>
    </row>
    <row r="171" spans="1:14">
      <c r="A171" s="997">
        <v>170</v>
      </c>
      <c r="B171" s="997" t="s">
        <v>373</v>
      </c>
      <c r="C171" s="997" t="s">
        <v>907</v>
      </c>
    </row>
    <row r="172" spans="1:14">
      <c r="A172" s="997">
        <v>171</v>
      </c>
      <c r="B172" s="997" t="s">
        <v>160</v>
      </c>
      <c r="C172" s="997" t="s">
        <v>897</v>
      </c>
      <c r="F172" s="996" t="s">
        <v>637</v>
      </c>
      <c r="G172" s="972" t="s">
        <v>647</v>
      </c>
      <c r="H172" s="972" t="s">
        <v>648</v>
      </c>
      <c r="I172" s="972" t="s">
        <v>649</v>
      </c>
      <c r="J172" s="972" t="s">
        <v>650</v>
      </c>
    </row>
    <row r="173" spans="1:14">
      <c r="A173" s="996">
        <v>172</v>
      </c>
      <c r="B173" s="997" t="s">
        <v>471</v>
      </c>
      <c r="C173" s="997" t="s">
        <v>898</v>
      </c>
      <c r="F173" s="996" t="str">
        <f>lista[[#Headers],[Svenska]]</f>
        <v>Svenska</v>
      </c>
      <c r="G173" s="971" t="s">
        <v>411</v>
      </c>
      <c r="H173" s="971" t="s">
        <v>412</v>
      </c>
      <c r="I173" s="971" t="s">
        <v>413</v>
      </c>
      <c r="J173" s="971" t="s">
        <v>504</v>
      </c>
    </row>
    <row r="174" spans="1:14">
      <c r="A174" s="997">
        <v>173</v>
      </c>
      <c r="B174" s="997" t="s">
        <v>374</v>
      </c>
      <c r="C174" s="997" t="s">
        <v>899</v>
      </c>
      <c r="F174" s="996" t="str">
        <f>lista[[#Headers],[English]]</f>
        <v>English</v>
      </c>
      <c r="G174" s="973" t="s">
        <v>756</v>
      </c>
      <c r="H174" s="973" t="s">
        <v>752</v>
      </c>
      <c r="I174" s="973" t="s">
        <v>757</v>
      </c>
      <c r="J174" s="973" t="s">
        <v>758</v>
      </c>
    </row>
    <row r="175" spans="1:14">
      <c r="A175" s="997">
        <v>174</v>
      </c>
      <c r="B175" s="997" t="s">
        <v>472</v>
      </c>
      <c r="C175" s="997" t="s">
        <v>900</v>
      </c>
    </row>
    <row r="176" spans="1:14">
      <c r="A176" s="996">
        <v>175</v>
      </c>
      <c r="B176" s="997" t="s">
        <v>955</v>
      </c>
      <c r="C176" s="1022" t="s">
        <v>956</v>
      </c>
    </row>
    <row r="177" spans="1:20">
      <c r="A177" s="997">
        <v>176</v>
      </c>
      <c r="B177" s="997" t="s">
        <v>400</v>
      </c>
      <c r="C177" s="997" t="s">
        <v>400</v>
      </c>
      <c r="F177" s="996" t="s">
        <v>637</v>
      </c>
      <c r="G177" s="972" t="s">
        <v>647</v>
      </c>
      <c r="H177" s="972" t="s">
        <v>648</v>
      </c>
      <c r="I177" s="972" t="s">
        <v>649</v>
      </c>
    </row>
    <row r="178" spans="1:20">
      <c r="A178" s="997">
        <v>177</v>
      </c>
      <c r="B178" s="997" t="s">
        <v>949</v>
      </c>
      <c r="C178" s="1022" t="s">
        <v>950</v>
      </c>
      <c r="F178" s="996" t="str">
        <f>lista[[#Headers],[Svenska]]</f>
        <v>Svenska</v>
      </c>
      <c r="G178" s="971" t="s">
        <v>437</v>
      </c>
      <c r="H178" s="971" t="s">
        <v>506</v>
      </c>
      <c r="I178" s="971" t="s">
        <v>123</v>
      </c>
    </row>
    <row r="179" spans="1:20" ht="14.25">
      <c r="A179" s="996">
        <v>178</v>
      </c>
      <c r="B179" s="1024" t="s">
        <v>957</v>
      </c>
      <c r="C179" s="997" t="s">
        <v>957</v>
      </c>
      <c r="F179" s="996" t="str">
        <f>lista[[#Headers],[English]]</f>
        <v>English</v>
      </c>
      <c r="G179" s="973" t="s">
        <v>759</v>
      </c>
      <c r="H179" s="973" t="s">
        <v>760</v>
      </c>
      <c r="I179" s="973" t="s">
        <v>629</v>
      </c>
    </row>
    <row r="180" spans="1:20">
      <c r="A180" s="997">
        <v>179</v>
      </c>
      <c r="B180" s="997" t="s">
        <v>959</v>
      </c>
      <c r="C180" s="1022" t="s">
        <v>960</v>
      </c>
    </row>
    <row r="181" spans="1:20">
      <c r="A181" s="997">
        <v>180</v>
      </c>
      <c r="B181" s="997" t="s">
        <v>958</v>
      </c>
      <c r="C181" s="997" t="s">
        <v>958</v>
      </c>
    </row>
    <row r="182" spans="1:20">
      <c r="A182" s="996">
        <v>181</v>
      </c>
      <c r="B182" s="997" t="s">
        <v>162</v>
      </c>
      <c r="C182" s="997" t="s">
        <v>901</v>
      </c>
      <c r="F182" s="996" t="s">
        <v>637</v>
      </c>
      <c r="G182" s="972" t="s">
        <v>647</v>
      </c>
      <c r="H182" s="972" t="s">
        <v>648</v>
      </c>
      <c r="I182" s="972" t="s">
        <v>649</v>
      </c>
    </row>
    <row r="183" spans="1:20">
      <c r="A183" s="997">
        <v>182</v>
      </c>
      <c r="B183" s="997" t="s">
        <v>376</v>
      </c>
      <c r="C183" s="997" t="s">
        <v>902</v>
      </c>
      <c r="F183" s="996" t="str">
        <f>lista[[#Headers],[Svenska]]</f>
        <v>Svenska</v>
      </c>
      <c r="G183" s="971" t="s">
        <v>11</v>
      </c>
      <c r="H183" s="971" t="s">
        <v>132</v>
      </c>
      <c r="I183" s="971" t="s">
        <v>216</v>
      </c>
    </row>
    <row r="184" spans="1:20" ht="14.25">
      <c r="A184" s="997">
        <v>183</v>
      </c>
      <c r="B184" s="997" t="s">
        <v>961</v>
      </c>
      <c r="C184" s="1024" t="s">
        <v>962</v>
      </c>
      <c r="F184" s="996" t="str">
        <f>lista[[#Headers],[English]]</f>
        <v>English</v>
      </c>
      <c r="G184" s="973" t="s">
        <v>674</v>
      </c>
      <c r="H184" s="973" t="s">
        <v>553</v>
      </c>
      <c r="I184" s="973" t="s">
        <v>718</v>
      </c>
    </row>
    <row r="185" spans="1:20">
      <c r="A185" s="996">
        <v>184</v>
      </c>
      <c r="B185" s="997" t="s">
        <v>375</v>
      </c>
      <c r="C185" s="997" t="s">
        <v>903</v>
      </c>
    </row>
    <row r="186" spans="1:20" ht="14.25">
      <c r="A186" s="997">
        <v>185</v>
      </c>
      <c r="B186" s="1024" t="s">
        <v>473</v>
      </c>
      <c r="C186" s="1024" t="s">
        <v>963</v>
      </c>
    </row>
    <row r="187" spans="1:20">
      <c r="A187" s="997">
        <v>186</v>
      </c>
      <c r="B187" s="997" t="s">
        <v>161</v>
      </c>
      <c r="C187" s="997" t="s">
        <v>161</v>
      </c>
      <c r="F187" s="996" t="s">
        <v>637</v>
      </c>
      <c r="G187" s="972" t="s">
        <v>647</v>
      </c>
      <c r="H187" s="972" t="s">
        <v>648</v>
      </c>
      <c r="I187" s="972" t="s">
        <v>649</v>
      </c>
      <c r="J187" s="972" t="s">
        <v>650</v>
      </c>
      <c r="K187" s="975" t="s">
        <v>651</v>
      </c>
      <c r="L187" s="975" t="s">
        <v>652</v>
      </c>
      <c r="M187" s="975" t="s">
        <v>653</v>
      </c>
      <c r="N187" s="975" t="s">
        <v>654</v>
      </c>
    </row>
    <row r="188" spans="1:20">
      <c r="A188" s="996">
        <v>187</v>
      </c>
      <c r="B188" s="997" t="s">
        <v>374</v>
      </c>
      <c r="C188" s="997" t="s">
        <v>904</v>
      </c>
      <c r="F188" s="996" t="str">
        <f>lista[[#Headers],[Svenska]]</f>
        <v>Svenska</v>
      </c>
      <c r="G188" s="971" t="s">
        <v>141</v>
      </c>
      <c r="H188" s="971" t="s">
        <v>240</v>
      </c>
      <c r="I188" s="971" t="s">
        <v>146</v>
      </c>
      <c r="J188" s="971" t="s">
        <v>22</v>
      </c>
      <c r="K188" s="996" t="s">
        <v>145</v>
      </c>
      <c r="L188" s="996" t="s">
        <v>43</v>
      </c>
      <c r="M188" s="996" t="s">
        <v>242</v>
      </c>
      <c r="N188" s="996" t="s">
        <v>44</v>
      </c>
    </row>
    <row r="189" spans="1:20" ht="14.25">
      <c r="A189" s="997">
        <v>188</v>
      </c>
      <c r="B189" s="997" t="s">
        <v>372</v>
      </c>
      <c r="C189" s="1024" t="s">
        <v>372</v>
      </c>
      <c r="F189" s="996" t="str">
        <f>lista[[#Headers],[English]]</f>
        <v>English</v>
      </c>
      <c r="G189" s="973" t="s">
        <v>591</v>
      </c>
      <c r="H189" s="973" t="s">
        <v>723</v>
      </c>
      <c r="I189" s="973" t="s">
        <v>671</v>
      </c>
      <c r="J189" s="973" t="s">
        <v>615</v>
      </c>
      <c r="K189" s="996" t="s">
        <v>640</v>
      </c>
      <c r="L189" s="996" t="s">
        <v>761</v>
      </c>
      <c r="M189" s="996" t="s">
        <v>762</v>
      </c>
      <c r="N189" s="996" t="s">
        <v>763</v>
      </c>
    </row>
    <row r="190" spans="1:20">
      <c r="A190" s="997">
        <v>189</v>
      </c>
      <c r="B190" s="997" t="s">
        <v>418</v>
      </c>
      <c r="C190" s="997" t="s">
        <v>418</v>
      </c>
    </row>
    <row r="191" spans="1:20">
      <c r="A191" s="996">
        <v>190</v>
      </c>
      <c r="B191" s="997" t="s">
        <v>419</v>
      </c>
      <c r="C191" s="997" t="s">
        <v>905</v>
      </c>
    </row>
    <row r="192" spans="1:20" ht="14.25">
      <c r="A192" s="997">
        <v>191</v>
      </c>
      <c r="B192" s="997" t="s">
        <v>420</v>
      </c>
      <c r="C192" s="1024" t="s">
        <v>420</v>
      </c>
      <c r="F192" s="996" t="s">
        <v>637</v>
      </c>
      <c r="G192" s="972" t="s">
        <v>647</v>
      </c>
      <c r="H192" s="972" t="s">
        <v>648</v>
      </c>
      <c r="I192" s="972" t="s">
        <v>649</v>
      </c>
      <c r="J192" s="975" t="s">
        <v>650</v>
      </c>
      <c r="K192" s="975" t="s">
        <v>651</v>
      </c>
      <c r="L192" s="975" t="s">
        <v>652</v>
      </c>
      <c r="M192" s="975" t="s">
        <v>653</v>
      </c>
      <c r="N192" s="975" t="s">
        <v>654</v>
      </c>
      <c r="O192" s="975" t="s">
        <v>655</v>
      </c>
      <c r="P192" s="975" t="s">
        <v>656</v>
      </c>
      <c r="Q192" s="975" t="s">
        <v>657</v>
      </c>
      <c r="R192" s="975" t="s">
        <v>658</v>
      </c>
      <c r="S192" s="975" t="s">
        <v>660</v>
      </c>
      <c r="T192" s="975" t="s">
        <v>661</v>
      </c>
    </row>
    <row r="193" spans="1:20">
      <c r="A193" s="997">
        <v>192</v>
      </c>
      <c r="B193" s="997" t="s">
        <v>174</v>
      </c>
      <c r="C193" s="997" t="s">
        <v>908</v>
      </c>
      <c r="F193" s="996" t="str">
        <f>lista[[#Headers],[Svenska]]</f>
        <v>Svenska</v>
      </c>
      <c r="G193" s="971" t="s">
        <v>45</v>
      </c>
      <c r="H193" s="971" t="s">
        <v>198</v>
      </c>
      <c r="I193" s="971" t="s">
        <v>49</v>
      </c>
      <c r="J193" s="996" t="s">
        <v>46</v>
      </c>
      <c r="K193" s="996" t="s">
        <v>47</v>
      </c>
      <c r="L193" s="996" t="s">
        <v>48</v>
      </c>
      <c r="M193" s="996" t="s">
        <v>50</v>
      </c>
      <c r="N193" s="996" t="s">
        <v>199</v>
      </c>
      <c r="O193" s="996" t="s">
        <v>200</v>
      </c>
      <c r="P193" s="996" t="s">
        <v>201</v>
      </c>
      <c r="Q193" s="996" t="s">
        <v>51</v>
      </c>
      <c r="R193" s="996" t="s">
        <v>16</v>
      </c>
      <c r="S193" s="996" t="s">
        <v>52</v>
      </c>
      <c r="T193" s="996" t="s">
        <v>389</v>
      </c>
    </row>
    <row r="194" spans="1:20">
      <c r="A194" s="996">
        <v>193</v>
      </c>
      <c r="B194" s="997" t="s">
        <v>175</v>
      </c>
      <c r="C194" s="997" t="s">
        <v>909</v>
      </c>
      <c r="F194" s="996" t="str">
        <f>lista[[#Headers],[English]]</f>
        <v>English</v>
      </c>
      <c r="G194" s="973" t="s">
        <v>764</v>
      </c>
      <c r="H194" s="973" t="s">
        <v>198</v>
      </c>
      <c r="I194" s="973" t="s">
        <v>49</v>
      </c>
      <c r="J194" s="996" t="s">
        <v>46</v>
      </c>
      <c r="K194" s="996" t="s">
        <v>47</v>
      </c>
      <c r="L194" s="996" t="s">
        <v>48</v>
      </c>
      <c r="M194" s="996" t="s">
        <v>50</v>
      </c>
      <c r="N194" s="996" t="s">
        <v>199</v>
      </c>
      <c r="O194" s="996" t="s">
        <v>200</v>
      </c>
      <c r="P194" s="996" t="s">
        <v>201</v>
      </c>
      <c r="Q194" s="996" t="s">
        <v>765</v>
      </c>
      <c r="R194" s="996" t="s">
        <v>643</v>
      </c>
      <c r="S194" s="996" t="s">
        <v>766</v>
      </c>
      <c r="T194" s="996" t="s">
        <v>767</v>
      </c>
    </row>
    <row r="195" spans="1:20">
      <c r="A195" s="997">
        <v>194</v>
      </c>
      <c r="B195" s="997" t="s">
        <v>176</v>
      </c>
      <c r="C195" s="997" t="s">
        <v>910</v>
      </c>
    </row>
    <row r="196" spans="1:20">
      <c r="A196" s="997">
        <v>195</v>
      </c>
      <c r="B196" s="997" t="s">
        <v>177</v>
      </c>
      <c r="C196" s="997" t="s">
        <v>911</v>
      </c>
    </row>
    <row r="197" spans="1:20">
      <c r="A197" s="996">
        <v>196</v>
      </c>
      <c r="B197" s="997" t="s">
        <v>179</v>
      </c>
      <c r="C197" s="997" t="s">
        <v>800</v>
      </c>
      <c r="F197" s="996" t="s">
        <v>637</v>
      </c>
      <c r="G197" s="972" t="s">
        <v>647</v>
      </c>
      <c r="H197" s="972" t="s">
        <v>648</v>
      </c>
      <c r="I197" s="972" t="s">
        <v>649</v>
      </c>
      <c r="J197" s="975" t="s">
        <v>650</v>
      </c>
      <c r="K197" s="975" t="s">
        <v>651</v>
      </c>
    </row>
    <row r="198" spans="1:20">
      <c r="A198" s="997">
        <v>197</v>
      </c>
      <c r="B198" s="997" t="s">
        <v>22</v>
      </c>
      <c r="C198" s="997" t="s">
        <v>615</v>
      </c>
      <c r="F198" s="996" t="str">
        <f>lista[[#Headers],[Svenska]]</f>
        <v>Svenska</v>
      </c>
      <c r="G198" s="971" t="s">
        <v>122</v>
      </c>
      <c r="H198" s="971" t="s">
        <v>23</v>
      </c>
      <c r="I198" s="971" t="s">
        <v>11</v>
      </c>
      <c r="J198" s="996" t="s">
        <v>20</v>
      </c>
      <c r="K198" s="996" t="s">
        <v>132</v>
      </c>
    </row>
    <row r="199" spans="1:20">
      <c r="A199" s="997">
        <v>198</v>
      </c>
      <c r="B199" s="997" t="s">
        <v>98</v>
      </c>
      <c r="C199" s="997" t="s">
        <v>912</v>
      </c>
      <c r="F199" s="996" t="str">
        <f>lista[[#Headers],[English]]</f>
        <v>English</v>
      </c>
      <c r="G199" s="973" t="s">
        <v>768</v>
      </c>
      <c r="H199" s="973" t="s">
        <v>672</v>
      </c>
      <c r="I199" s="973" t="s">
        <v>674</v>
      </c>
      <c r="J199" s="996" t="s">
        <v>715</v>
      </c>
      <c r="K199" s="996" t="s">
        <v>553</v>
      </c>
    </row>
    <row r="200" spans="1:20">
      <c r="A200" s="996">
        <v>199</v>
      </c>
      <c r="B200" s="997" t="s">
        <v>431</v>
      </c>
      <c r="C200" s="997" t="s">
        <v>913</v>
      </c>
    </row>
    <row r="201" spans="1:20">
      <c r="A201" s="997">
        <v>200</v>
      </c>
      <c r="B201" s="997" t="s">
        <v>180</v>
      </c>
      <c r="C201" s="997" t="s">
        <v>914</v>
      </c>
    </row>
    <row r="202" spans="1:20">
      <c r="A202" s="997">
        <v>201</v>
      </c>
      <c r="B202" s="997" t="s">
        <v>181</v>
      </c>
      <c r="C202" s="997" t="s">
        <v>915</v>
      </c>
      <c r="F202" s="996" t="s">
        <v>637</v>
      </c>
      <c r="G202" s="972" t="s">
        <v>647</v>
      </c>
      <c r="H202" s="972" t="s">
        <v>648</v>
      </c>
      <c r="I202" s="972" t="s">
        <v>649</v>
      </c>
      <c r="J202" s="975" t="s">
        <v>650</v>
      </c>
      <c r="K202" s="975" t="s">
        <v>651</v>
      </c>
      <c r="L202" s="975" t="s">
        <v>652</v>
      </c>
      <c r="M202" s="975" t="s">
        <v>653</v>
      </c>
      <c r="N202" s="975" t="s">
        <v>654</v>
      </c>
      <c r="O202" s="975" t="s">
        <v>655</v>
      </c>
      <c r="P202" s="975" t="s">
        <v>656</v>
      </c>
      <c r="Q202" s="975" t="s">
        <v>657</v>
      </c>
    </row>
    <row r="203" spans="1:20">
      <c r="A203" s="996">
        <v>202</v>
      </c>
      <c r="B203" s="997" t="s">
        <v>183</v>
      </c>
      <c r="C203" s="997" t="s">
        <v>916</v>
      </c>
      <c r="F203" s="996" t="str">
        <f>lista[[#Headers],[Svenska]]</f>
        <v>Svenska</v>
      </c>
      <c r="G203" s="971" t="s">
        <v>96</v>
      </c>
      <c r="H203" s="971" t="s">
        <v>97</v>
      </c>
      <c r="I203" s="971" t="s">
        <v>231</v>
      </c>
      <c r="J203" s="996" t="s">
        <v>232</v>
      </c>
      <c r="K203" s="996" t="s">
        <v>233</v>
      </c>
      <c r="L203" s="996" t="s">
        <v>67</v>
      </c>
      <c r="M203" s="996" t="s">
        <v>234</v>
      </c>
      <c r="N203" s="996" t="s">
        <v>235</v>
      </c>
      <c r="O203" s="996" t="s">
        <v>236</v>
      </c>
      <c r="P203" s="996" t="s">
        <v>3</v>
      </c>
      <c r="Q203" s="996" t="s">
        <v>237</v>
      </c>
    </row>
    <row r="204" spans="1:20">
      <c r="A204" s="997">
        <v>203</v>
      </c>
      <c r="B204" s="997" t="s">
        <v>184</v>
      </c>
      <c r="C204" s="997" t="s">
        <v>917</v>
      </c>
      <c r="F204" s="996" t="str">
        <f>lista[[#Headers],[English]]</f>
        <v>English</v>
      </c>
      <c r="G204" s="973" t="s">
        <v>769</v>
      </c>
      <c r="H204" s="973" t="s">
        <v>770</v>
      </c>
      <c r="I204" s="973" t="s">
        <v>771</v>
      </c>
      <c r="J204" s="996" t="s">
        <v>772</v>
      </c>
      <c r="K204" s="996" t="s">
        <v>773</v>
      </c>
      <c r="L204" s="996" t="s">
        <v>67</v>
      </c>
      <c r="M204" s="996" t="s">
        <v>774</v>
      </c>
      <c r="N204" s="996" t="s">
        <v>775</v>
      </c>
      <c r="O204" s="996" t="s">
        <v>776</v>
      </c>
      <c r="P204" s="996" t="s">
        <v>3</v>
      </c>
      <c r="Q204" s="996" t="s">
        <v>777</v>
      </c>
    </row>
    <row r="205" spans="1:20">
      <c r="A205" s="997">
        <v>204</v>
      </c>
      <c r="B205" s="997" t="s">
        <v>432</v>
      </c>
      <c r="C205" s="997" t="s">
        <v>918</v>
      </c>
    </row>
    <row r="206" spans="1:20">
      <c r="A206" s="996">
        <v>205</v>
      </c>
      <c r="B206" s="997" t="s">
        <v>185</v>
      </c>
      <c r="C206" s="997" t="s">
        <v>919</v>
      </c>
      <c r="I206" s="998"/>
    </row>
    <row r="207" spans="1:20">
      <c r="A207" s="997">
        <v>206</v>
      </c>
      <c r="B207" s="997" t="s">
        <v>386</v>
      </c>
      <c r="C207" s="997" t="s">
        <v>920</v>
      </c>
      <c r="F207" s="996" t="s">
        <v>637</v>
      </c>
      <c r="G207" s="972" t="s">
        <v>647</v>
      </c>
      <c r="H207" s="972" t="s">
        <v>648</v>
      </c>
      <c r="I207" s="978"/>
    </row>
    <row r="208" spans="1:20">
      <c r="A208" s="997">
        <v>207</v>
      </c>
      <c r="B208" s="997" t="s">
        <v>186</v>
      </c>
      <c r="C208" s="997" t="s">
        <v>921</v>
      </c>
      <c r="F208" s="996" t="str">
        <f>lista[[#Headers],[Svenska]]</f>
        <v>Svenska</v>
      </c>
      <c r="G208" s="971" t="s">
        <v>96</v>
      </c>
      <c r="H208" s="971" t="s">
        <v>97</v>
      </c>
      <c r="I208" s="979"/>
    </row>
    <row r="209" spans="1:18">
      <c r="A209" s="996">
        <v>208</v>
      </c>
      <c r="B209" s="997" t="s">
        <v>179</v>
      </c>
      <c r="C209" s="997" t="s">
        <v>800</v>
      </c>
      <c r="F209" s="997" t="str">
        <f>lista[[#Headers],[English]]</f>
        <v>English</v>
      </c>
      <c r="G209" s="973" t="s">
        <v>769</v>
      </c>
      <c r="H209" s="973" t="s">
        <v>770</v>
      </c>
      <c r="I209" s="979"/>
    </row>
    <row r="210" spans="1:18">
      <c r="A210" s="997">
        <v>209</v>
      </c>
      <c r="B210" s="997" t="s">
        <v>187</v>
      </c>
      <c r="C210" s="997" t="s">
        <v>922</v>
      </c>
      <c r="I210" s="998"/>
    </row>
    <row r="211" spans="1:18">
      <c r="A211" s="997">
        <v>210</v>
      </c>
      <c r="B211" s="997" t="s">
        <v>273</v>
      </c>
      <c r="C211" s="997" t="s">
        <v>923</v>
      </c>
    </row>
    <row r="212" spans="1:18">
      <c r="A212" s="996">
        <v>211</v>
      </c>
      <c r="B212" s="997" t="s">
        <v>274</v>
      </c>
      <c r="C212" s="997" t="s">
        <v>924</v>
      </c>
      <c r="F212" s="996" t="s">
        <v>637</v>
      </c>
      <c r="G212" s="972" t="s">
        <v>647</v>
      </c>
      <c r="H212" s="972" t="s">
        <v>648</v>
      </c>
      <c r="I212" s="972" t="s">
        <v>649</v>
      </c>
      <c r="J212" s="975" t="s">
        <v>650</v>
      </c>
      <c r="K212" s="975" t="s">
        <v>651</v>
      </c>
      <c r="L212" s="975" t="s">
        <v>652</v>
      </c>
      <c r="M212" s="975" t="s">
        <v>653</v>
      </c>
      <c r="N212" s="975" t="s">
        <v>654</v>
      </c>
      <c r="O212" s="975" t="s">
        <v>655</v>
      </c>
      <c r="P212" s="975" t="s">
        <v>656</v>
      </c>
    </row>
    <row r="213" spans="1:18">
      <c r="A213" s="997">
        <v>212</v>
      </c>
      <c r="B213" s="997" t="s">
        <v>275</v>
      </c>
      <c r="C213" s="997" t="s">
        <v>925</v>
      </c>
      <c r="F213" s="996" t="str">
        <f>lista[[#Headers],[Svenska]]</f>
        <v>Svenska</v>
      </c>
      <c r="G213" s="971" t="s">
        <v>103</v>
      </c>
      <c r="H213" s="971" t="s">
        <v>88</v>
      </c>
      <c r="I213" s="971" t="s">
        <v>460</v>
      </c>
      <c r="J213" s="996" t="s">
        <v>101</v>
      </c>
      <c r="K213" s="996" t="s">
        <v>92</v>
      </c>
      <c r="L213" s="996" t="s">
        <v>191</v>
      </c>
      <c r="M213" s="996" t="s">
        <v>91</v>
      </c>
      <c r="N213" s="996" t="s">
        <v>64</v>
      </c>
      <c r="O213" s="996" t="s">
        <v>63</v>
      </c>
      <c r="P213" s="996" t="s">
        <v>51</v>
      </c>
    </row>
    <row r="214" spans="1:18">
      <c r="A214" s="997">
        <v>213</v>
      </c>
      <c r="B214" s="997" t="s">
        <v>388</v>
      </c>
      <c r="C214" s="997" t="s">
        <v>926</v>
      </c>
      <c r="F214" s="996" t="str">
        <f>lista[[#Headers],[English]]</f>
        <v>English</v>
      </c>
      <c r="G214" s="973" t="s">
        <v>845</v>
      </c>
      <c r="H214" s="973" t="s">
        <v>732</v>
      </c>
      <c r="I214" s="973" t="s">
        <v>846</v>
      </c>
      <c r="J214" s="996" t="s">
        <v>778</v>
      </c>
      <c r="K214" s="996" t="s">
        <v>735</v>
      </c>
      <c r="L214" s="996" t="s">
        <v>779</v>
      </c>
      <c r="M214" s="996" t="s">
        <v>734</v>
      </c>
      <c r="N214" s="996" t="s">
        <v>780</v>
      </c>
      <c r="O214" s="996" t="s">
        <v>804</v>
      </c>
      <c r="P214" s="996" t="s">
        <v>629</v>
      </c>
    </row>
    <row r="215" spans="1:18">
      <c r="A215" s="996">
        <v>214</v>
      </c>
      <c r="B215" s="997" t="s">
        <v>492</v>
      </c>
      <c r="C215" s="997" t="s">
        <v>882</v>
      </c>
    </row>
    <row r="216" spans="1:18">
      <c r="A216" s="997">
        <v>215</v>
      </c>
      <c r="B216" s="997" t="s">
        <v>512</v>
      </c>
      <c r="C216" s="997" t="s">
        <v>928</v>
      </c>
    </row>
    <row r="217" spans="1:18">
      <c r="A217" s="997">
        <v>216</v>
      </c>
      <c r="B217" s="997" t="s">
        <v>515</v>
      </c>
      <c r="C217" s="997" t="s">
        <v>927</v>
      </c>
      <c r="F217" s="996" t="s">
        <v>637</v>
      </c>
      <c r="G217" s="972" t="s">
        <v>647</v>
      </c>
      <c r="H217" s="972" t="s">
        <v>648</v>
      </c>
      <c r="I217" s="972" t="s">
        <v>649</v>
      </c>
      <c r="J217" s="975" t="s">
        <v>650</v>
      </c>
      <c r="K217" s="975" t="s">
        <v>651</v>
      </c>
      <c r="L217" s="975" t="s">
        <v>652</v>
      </c>
      <c r="M217" s="1040" t="s">
        <v>653</v>
      </c>
      <c r="N217" s="1040" t="s">
        <v>654</v>
      </c>
      <c r="O217" s="1040" t="s">
        <v>655</v>
      </c>
    </row>
    <row r="218" spans="1:18">
      <c r="A218" s="996">
        <v>217</v>
      </c>
      <c r="B218" s="997" t="s">
        <v>174</v>
      </c>
      <c r="C218" s="997" t="s">
        <v>908</v>
      </c>
      <c r="F218" s="996" t="str">
        <f>lista[[#Headers],[Svenska]]</f>
        <v>Svenska</v>
      </c>
      <c r="G218" s="971" t="s">
        <v>98</v>
      </c>
      <c r="H218" s="971" t="s">
        <v>99</v>
      </c>
      <c r="I218" s="971" t="s">
        <v>965</v>
      </c>
      <c r="J218" s="996" t="s">
        <v>100</v>
      </c>
      <c r="K218" s="996" t="s">
        <v>190</v>
      </c>
      <c r="L218" s="996" t="s">
        <v>461</v>
      </c>
      <c r="M218" s="1042" t="s">
        <v>964</v>
      </c>
      <c r="N218" s="1042" t="s">
        <v>70</v>
      </c>
      <c r="O218" s="1042" t="s">
        <v>123</v>
      </c>
    </row>
    <row r="219" spans="1:18">
      <c r="A219" s="997">
        <v>218</v>
      </c>
      <c r="B219" s="997" t="s">
        <v>66</v>
      </c>
      <c r="C219" s="997" t="s">
        <v>909</v>
      </c>
      <c r="F219" s="996" t="str">
        <f>lista[[#Headers],[English]]</f>
        <v>English</v>
      </c>
      <c r="G219" s="973" t="s">
        <v>912</v>
      </c>
      <c r="H219" s="973" t="s">
        <v>841</v>
      </c>
      <c r="I219" s="973" t="s">
        <v>842</v>
      </c>
      <c r="J219" s="996" t="s">
        <v>843</v>
      </c>
      <c r="K219" s="996" t="s">
        <v>844</v>
      </c>
      <c r="L219" s="996" t="s">
        <v>847</v>
      </c>
      <c r="M219" s="1042" t="s">
        <v>964</v>
      </c>
      <c r="N219" s="1042" t="s">
        <v>782</v>
      </c>
      <c r="O219" s="1042" t="s">
        <v>629</v>
      </c>
    </row>
    <row r="220" spans="1:18">
      <c r="A220" s="997">
        <v>219</v>
      </c>
      <c r="B220" s="997" t="s">
        <v>189</v>
      </c>
      <c r="C220" s="997" t="s">
        <v>910</v>
      </c>
    </row>
    <row r="221" spans="1:18">
      <c r="A221" s="996">
        <v>220</v>
      </c>
      <c r="B221" s="997" t="s">
        <v>2</v>
      </c>
      <c r="C221" s="997" t="s">
        <v>911</v>
      </c>
    </row>
    <row r="222" spans="1:18">
      <c r="A222" s="997">
        <v>221</v>
      </c>
      <c r="B222" s="997" t="s">
        <v>179</v>
      </c>
      <c r="C222" s="997" t="s">
        <v>800</v>
      </c>
      <c r="F222" s="996" t="s">
        <v>637</v>
      </c>
      <c r="G222" s="972" t="s">
        <v>647</v>
      </c>
      <c r="H222" s="972" t="s">
        <v>648</v>
      </c>
      <c r="I222" s="972" t="s">
        <v>649</v>
      </c>
      <c r="J222" s="975" t="s">
        <v>650</v>
      </c>
      <c r="K222" s="975" t="s">
        <v>651</v>
      </c>
      <c r="L222" s="975" t="s">
        <v>652</v>
      </c>
      <c r="M222" s="975" t="s">
        <v>653</v>
      </c>
      <c r="N222" s="975" t="s">
        <v>654</v>
      </c>
      <c r="O222" s="975" t="s">
        <v>655</v>
      </c>
      <c r="P222" s="975" t="s">
        <v>656</v>
      </c>
      <c r="Q222" s="1040" t="s">
        <v>657</v>
      </c>
      <c r="R222" s="1040" t="s">
        <v>658</v>
      </c>
    </row>
    <row r="223" spans="1:18">
      <c r="A223" s="997">
        <v>222</v>
      </c>
      <c r="B223" s="997" t="s">
        <v>22</v>
      </c>
      <c r="C223" s="997" t="s">
        <v>615</v>
      </c>
      <c r="F223" s="996" t="str">
        <f>lista[[#Headers],[Svenska]]</f>
        <v>Svenska</v>
      </c>
      <c r="G223" s="971" t="s">
        <v>64</v>
      </c>
      <c r="H223" s="971" t="s">
        <v>104</v>
      </c>
      <c r="I223" s="971" t="s">
        <v>462</v>
      </c>
      <c r="J223" s="996" t="s">
        <v>91</v>
      </c>
      <c r="K223" s="996" t="s">
        <v>102</v>
      </c>
      <c r="L223" s="996" t="s">
        <v>105</v>
      </c>
      <c r="M223" s="996" t="s">
        <v>106</v>
      </c>
      <c r="N223" s="996" t="s">
        <v>59</v>
      </c>
      <c r="O223" s="996" t="s">
        <v>463</v>
      </c>
      <c r="P223" s="996" t="s">
        <v>89</v>
      </c>
      <c r="Q223" s="1041" t="s">
        <v>4</v>
      </c>
      <c r="R223" s="996" t="s">
        <v>51</v>
      </c>
    </row>
    <row r="224" spans="1:18">
      <c r="A224" s="996">
        <v>223</v>
      </c>
      <c r="B224" s="997" t="s">
        <v>98</v>
      </c>
      <c r="C224" s="997" t="s">
        <v>912</v>
      </c>
      <c r="F224" s="996" t="str">
        <f>lista[[#Headers],[English]]</f>
        <v>English</v>
      </c>
      <c r="G224" s="973" t="s">
        <v>780</v>
      </c>
      <c r="H224" s="973" t="s">
        <v>848</v>
      </c>
      <c r="I224" s="973" t="s">
        <v>951</v>
      </c>
      <c r="J224" s="996" t="s">
        <v>734</v>
      </c>
      <c r="K224" s="996" t="s">
        <v>791</v>
      </c>
      <c r="L224" s="996" t="s">
        <v>849</v>
      </c>
      <c r="M224" s="996" t="s">
        <v>106</v>
      </c>
      <c r="N224" s="996" t="s">
        <v>788</v>
      </c>
      <c r="O224" s="996" t="s">
        <v>850</v>
      </c>
      <c r="P224" s="996" t="s">
        <v>89</v>
      </c>
      <c r="Q224" s="1041" t="s">
        <v>4</v>
      </c>
      <c r="R224" s="996" t="s">
        <v>629</v>
      </c>
    </row>
    <row r="225" spans="1:17">
      <c r="A225" s="997">
        <v>224</v>
      </c>
      <c r="B225" s="997" t="s">
        <v>431</v>
      </c>
      <c r="C225" s="997" t="s">
        <v>913</v>
      </c>
    </row>
    <row r="226" spans="1:17">
      <c r="A226" s="997">
        <v>225</v>
      </c>
      <c r="B226" s="997" t="s">
        <v>388</v>
      </c>
      <c r="C226" s="997" t="s">
        <v>926</v>
      </c>
    </row>
    <row r="227" spans="1:17">
      <c r="A227" s="996">
        <v>226</v>
      </c>
      <c r="B227" s="997" t="s">
        <v>492</v>
      </c>
      <c r="C227" s="997" t="s">
        <v>882</v>
      </c>
      <c r="F227" s="996" t="s">
        <v>637</v>
      </c>
      <c r="G227" s="972" t="s">
        <v>647</v>
      </c>
      <c r="H227" s="972" t="s">
        <v>648</v>
      </c>
      <c r="I227" s="972" t="s">
        <v>649</v>
      </c>
      <c r="J227" s="975" t="s">
        <v>650</v>
      </c>
      <c r="K227" s="975" t="s">
        <v>651</v>
      </c>
      <c r="L227" s="975" t="s">
        <v>652</v>
      </c>
      <c r="M227" s="975" t="s">
        <v>653</v>
      </c>
    </row>
    <row r="228" spans="1:17">
      <c r="A228" s="997">
        <v>227</v>
      </c>
      <c r="B228" s="997" t="s">
        <v>513</v>
      </c>
      <c r="C228" s="997" t="s">
        <v>929</v>
      </c>
      <c r="F228" s="996" t="str">
        <f>lista[[#Headers],[Svenska]]</f>
        <v>Svenska</v>
      </c>
      <c r="G228" s="971" t="s">
        <v>69</v>
      </c>
      <c r="H228" s="971" t="s">
        <v>70</v>
      </c>
      <c r="I228" s="971" t="s">
        <v>72</v>
      </c>
      <c r="J228" s="996" t="s">
        <v>73</v>
      </c>
      <c r="K228" s="996" t="s">
        <v>71</v>
      </c>
      <c r="L228" s="996" t="s">
        <v>192</v>
      </c>
      <c r="M228" s="996" t="s">
        <v>107</v>
      </c>
    </row>
    <row r="229" spans="1:17">
      <c r="A229" s="997">
        <v>228</v>
      </c>
      <c r="B229" s="997" t="s">
        <v>514</v>
      </c>
      <c r="C229" s="997" t="s">
        <v>930</v>
      </c>
      <c r="F229" s="996" t="str">
        <f>lista[[#Headers],[English]]</f>
        <v>English</v>
      </c>
      <c r="G229" s="973" t="s">
        <v>781</v>
      </c>
      <c r="H229" s="973" t="s">
        <v>782</v>
      </c>
      <c r="I229" s="973" t="s">
        <v>783</v>
      </c>
      <c r="J229" s="996" t="s">
        <v>784</v>
      </c>
      <c r="K229" s="996" t="s">
        <v>785</v>
      </c>
      <c r="L229" s="996" t="s">
        <v>786</v>
      </c>
      <c r="M229" s="996" t="s">
        <v>787</v>
      </c>
    </row>
    <row r="230" spans="1:17">
      <c r="A230" s="996">
        <v>229</v>
      </c>
      <c r="B230" s="997" t="s">
        <v>4</v>
      </c>
      <c r="C230" s="997" t="s">
        <v>4</v>
      </c>
    </row>
    <row r="231" spans="1:17">
      <c r="A231" s="997">
        <v>230</v>
      </c>
      <c r="B231" s="997" t="s">
        <v>268</v>
      </c>
      <c r="C231" s="997" t="s">
        <v>268</v>
      </c>
    </row>
    <row r="232" spans="1:17">
      <c r="A232" s="997">
        <v>231</v>
      </c>
      <c r="B232" s="997" t="s">
        <v>118</v>
      </c>
      <c r="C232" s="997" t="s">
        <v>821</v>
      </c>
      <c r="F232" s="996" t="s">
        <v>637</v>
      </c>
      <c r="G232" s="972" t="s">
        <v>647</v>
      </c>
      <c r="H232" s="972" t="s">
        <v>648</v>
      </c>
      <c r="I232" s="972" t="s">
        <v>649</v>
      </c>
      <c r="J232" s="975" t="s">
        <v>650</v>
      </c>
      <c r="K232" s="975" t="s">
        <v>651</v>
      </c>
      <c r="L232" s="975" t="s">
        <v>652</v>
      </c>
      <c r="M232" s="975" t="s">
        <v>653</v>
      </c>
      <c r="N232" s="975" t="s">
        <v>654</v>
      </c>
      <c r="O232" s="975" t="s">
        <v>655</v>
      </c>
      <c r="P232" s="975" t="s">
        <v>656</v>
      </c>
      <c r="Q232" s="975" t="s">
        <v>657</v>
      </c>
    </row>
    <row r="233" spans="1:17">
      <c r="A233" s="996">
        <v>232</v>
      </c>
      <c r="B233" s="997" t="s">
        <v>63</v>
      </c>
      <c r="C233" s="997" t="s">
        <v>804</v>
      </c>
      <c r="F233" s="996" t="str">
        <f>lista[[#Headers],[Svenska]]</f>
        <v>Svenska</v>
      </c>
      <c r="G233" s="971" t="s">
        <v>64</v>
      </c>
      <c r="H233" s="971" t="s">
        <v>101</v>
      </c>
      <c r="I233" s="971" t="s">
        <v>59</v>
      </c>
      <c r="J233" s="996" t="s">
        <v>193</v>
      </c>
      <c r="K233" s="996" t="s">
        <v>191</v>
      </c>
      <c r="L233" s="996" t="s">
        <v>92</v>
      </c>
      <c r="M233" s="996" t="s">
        <v>194</v>
      </c>
      <c r="N233" s="996" t="s">
        <v>102</v>
      </c>
      <c r="O233" s="996" t="s">
        <v>4</v>
      </c>
      <c r="P233" s="996" t="s">
        <v>195</v>
      </c>
      <c r="Q233" s="996" t="s">
        <v>51</v>
      </c>
    </row>
    <row r="234" spans="1:17">
      <c r="A234" s="997">
        <v>233</v>
      </c>
      <c r="B234" s="997" t="s">
        <v>124</v>
      </c>
      <c r="C234" s="997" t="s">
        <v>937</v>
      </c>
      <c r="F234" s="996" t="str">
        <f>lista[[#Headers],[English]]</f>
        <v>English</v>
      </c>
      <c r="G234" s="973" t="s">
        <v>780</v>
      </c>
      <c r="H234" s="973" t="s">
        <v>778</v>
      </c>
      <c r="I234" s="973" t="s">
        <v>788</v>
      </c>
      <c r="J234" s="996" t="s">
        <v>789</v>
      </c>
      <c r="K234" s="996" t="s">
        <v>779</v>
      </c>
      <c r="L234" s="996" t="s">
        <v>735</v>
      </c>
      <c r="M234" s="996" t="s">
        <v>790</v>
      </c>
      <c r="N234" s="996" t="s">
        <v>791</v>
      </c>
      <c r="O234" s="996" t="s">
        <v>4</v>
      </c>
      <c r="P234" s="996" t="s">
        <v>195</v>
      </c>
      <c r="Q234" s="996" t="s">
        <v>629</v>
      </c>
    </row>
    <row r="235" spans="1:17">
      <c r="A235" s="997">
        <v>234</v>
      </c>
      <c r="B235" s="997" t="s">
        <v>125</v>
      </c>
      <c r="C235" s="997" t="s">
        <v>822</v>
      </c>
    </row>
    <row r="236" spans="1:17">
      <c r="A236" s="996">
        <v>235</v>
      </c>
      <c r="B236" s="997" t="s">
        <v>126</v>
      </c>
      <c r="C236" s="997" t="s">
        <v>820</v>
      </c>
    </row>
    <row r="237" spans="1:17">
      <c r="A237" s="997">
        <v>236</v>
      </c>
      <c r="B237" s="997" t="s">
        <v>127</v>
      </c>
      <c r="C237" s="997" t="s">
        <v>824</v>
      </c>
      <c r="F237" s="996" t="s">
        <v>637</v>
      </c>
      <c r="G237" s="972" t="s">
        <v>647</v>
      </c>
      <c r="H237" s="972" t="s">
        <v>648</v>
      </c>
      <c r="I237" s="972" t="s">
        <v>649</v>
      </c>
      <c r="J237" s="975" t="s">
        <v>650</v>
      </c>
      <c r="K237" s="975" t="s">
        <v>651</v>
      </c>
      <c r="L237" s="975" t="s">
        <v>652</v>
      </c>
    </row>
    <row r="238" spans="1:17">
      <c r="A238" s="997">
        <v>237</v>
      </c>
      <c r="B238" s="997" t="s">
        <v>117</v>
      </c>
      <c r="C238" s="997" t="s">
        <v>938</v>
      </c>
      <c r="F238" s="996" t="str">
        <f>lista[[#Headers],[Svenska]]</f>
        <v>Svenska</v>
      </c>
      <c r="G238" s="971" t="s">
        <v>243</v>
      </c>
      <c r="H238" s="971" t="s">
        <v>244</v>
      </c>
      <c r="I238" s="971" t="s">
        <v>108</v>
      </c>
      <c r="J238" s="996" t="s">
        <v>245</v>
      </c>
      <c r="K238" s="996" t="s">
        <v>246</v>
      </c>
      <c r="L238" s="996" t="s">
        <v>459</v>
      </c>
    </row>
    <row r="239" spans="1:17">
      <c r="A239" s="997">
        <v>238</v>
      </c>
      <c r="B239" s="997" t="s">
        <v>421</v>
      </c>
      <c r="C239" s="997" t="s">
        <v>939</v>
      </c>
      <c r="F239" s="996" t="str">
        <f>lista[[#Headers],[English]]</f>
        <v>English</v>
      </c>
      <c r="G239" s="973" t="s">
        <v>852</v>
      </c>
      <c r="H239" s="973" t="s">
        <v>853</v>
      </c>
      <c r="I239" s="973" t="s">
        <v>854</v>
      </c>
      <c r="J239" s="996" t="s">
        <v>855</v>
      </c>
      <c r="K239" s="996" t="s">
        <v>856</v>
      </c>
      <c r="L239" s="973" t="s">
        <v>952</v>
      </c>
    </row>
    <row r="242" spans="6:13">
      <c r="F242" s="996" t="s">
        <v>637</v>
      </c>
      <c r="G242" s="972" t="s">
        <v>647</v>
      </c>
      <c r="H242" s="972" t="s">
        <v>648</v>
      </c>
      <c r="I242" s="972" t="s">
        <v>649</v>
      </c>
    </row>
    <row r="243" spans="6:13">
      <c r="F243" s="996" t="str">
        <f>lista[[#Headers],[Svenska]]</f>
        <v>Svenska</v>
      </c>
      <c r="G243" s="971" t="s">
        <v>56</v>
      </c>
      <c r="H243" s="971" t="s">
        <v>57</v>
      </c>
      <c r="I243" s="971" t="s">
        <v>58</v>
      </c>
    </row>
    <row r="244" spans="6:13">
      <c r="F244" s="996" t="str">
        <f>lista[[#Headers],[English]]</f>
        <v>English</v>
      </c>
      <c r="G244" s="973" t="s">
        <v>792</v>
      </c>
      <c r="H244" s="973" t="s">
        <v>793</v>
      </c>
      <c r="I244" s="973" t="s">
        <v>794</v>
      </c>
    </row>
    <row r="247" spans="6:13">
      <c r="F247" s="996" t="s">
        <v>637</v>
      </c>
      <c r="G247" s="972" t="s">
        <v>647</v>
      </c>
      <c r="H247" s="972" t="s">
        <v>648</v>
      </c>
      <c r="I247" s="972" t="s">
        <v>649</v>
      </c>
      <c r="J247" s="975" t="s">
        <v>650</v>
      </c>
      <c r="K247" s="975" t="s">
        <v>651</v>
      </c>
    </row>
    <row r="248" spans="6:13">
      <c r="F248" s="996" t="str">
        <f>lista[[#Headers],[Svenska]]</f>
        <v>Svenska</v>
      </c>
      <c r="G248" s="971" t="s">
        <v>79</v>
      </c>
      <c r="H248" s="971" t="s">
        <v>0</v>
      </c>
      <c r="I248" s="971" t="s">
        <v>76</v>
      </c>
      <c r="J248" s="996" t="s">
        <v>77</v>
      </c>
      <c r="K248" s="996" t="s">
        <v>78</v>
      </c>
    </row>
    <row r="249" spans="6:13">
      <c r="F249" s="996" t="str">
        <f>lista[[#Headers],[English]]</f>
        <v>English</v>
      </c>
      <c r="G249" s="973" t="s">
        <v>795</v>
      </c>
      <c r="H249" s="973" t="s">
        <v>704</v>
      </c>
      <c r="I249" s="973" t="s">
        <v>796</v>
      </c>
      <c r="J249" s="996" t="s">
        <v>797</v>
      </c>
      <c r="K249" s="996" t="s">
        <v>798</v>
      </c>
    </row>
    <row r="252" spans="6:13">
      <c r="F252" s="996" t="s">
        <v>637</v>
      </c>
      <c r="G252" s="972" t="s">
        <v>647</v>
      </c>
      <c r="H252" s="972" t="s">
        <v>648</v>
      </c>
      <c r="I252" s="972" t="s">
        <v>649</v>
      </c>
      <c r="J252" s="975" t="s">
        <v>650</v>
      </c>
      <c r="K252" s="975" t="s">
        <v>651</v>
      </c>
      <c r="L252" s="975" t="s">
        <v>652</v>
      </c>
      <c r="M252" s="975" t="s">
        <v>653</v>
      </c>
    </row>
    <row r="253" spans="6:13">
      <c r="F253" s="996" t="str">
        <f>lista[[#Headers],[Svenska]]</f>
        <v>Svenska</v>
      </c>
      <c r="G253" s="971" t="s">
        <v>11</v>
      </c>
      <c r="H253" s="971" t="s">
        <v>20</v>
      </c>
      <c r="I253" s="971" t="s">
        <v>358</v>
      </c>
      <c r="J253" s="996" t="s">
        <v>250</v>
      </c>
      <c r="K253" s="996" t="s">
        <v>137</v>
      </c>
      <c r="L253" s="996" t="s">
        <v>138</v>
      </c>
      <c r="M253" s="996" t="s">
        <v>135</v>
      </c>
    </row>
    <row r="254" spans="6:13">
      <c r="F254" s="996" t="str">
        <f>lista[[#Headers],[English]]</f>
        <v>English</v>
      </c>
      <c r="G254" s="973" t="s">
        <v>674</v>
      </c>
      <c r="H254" s="973" t="s">
        <v>715</v>
      </c>
      <c r="I254" s="973" t="s">
        <v>799</v>
      </c>
      <c r="J254" s="996" t="s">
        <v>677</v>
      </c>
      <c r="K254" s="996" t="s">
        <v>681</v>
      </c>
      <c r="L254" s="996" t="s">
        <v>682</v>
      </c>
      <c r="M254" s="996" t="s">
        <v>683</v>
      </c>
    </row>
    <row r="257" spans="6:13">
      <c r="F257" s="996" t="s">
        <v>637</v>
      </c>
      <c r="G257" s="972" t="s">
        <v>647</v>
      </c>
      <c r="H257" s="972" t="s">
        <v>648</v>
      </c>
      <c r="I257" s="972" t="s">
        <v>649</v>
      </c>
      <c r="J257" s="975" t="s">
        <v>650</v>
      </c>
      <c r="K257" s="975" t="s">
        <v>651</v>
      </c>
      <c r="L257" s="975" t="s">
        <v>652</v>
      </c>
      <c r="M257" s="975" t="s">
        <v>653</v>
      </c>
    </row>
    <row r="258" spans="6:13">
      <c r="F258" s="996" t="str">
        <f>lista[[#Headers],[Svenska]]</f>
        <v>Svenska</v>
      </c>
      <c r="G258" s="971" t="s">
        <v>179</v>
      </c>
      <c r="H258" s="971" t="s">
        <v>36</v>
      </c>
      <c r="I258" s="971" t="s">
        <v>255</v>
      </c>
      <c r="J258" s="996" t="s">
        <v>147</v>
      </c>
      <c r="K258" s="996" t="s">
        <v>66</v>
      </c>
      <c r="L258" s="996" t="s">
        <v>247</v>
      </c>
      <c r="M258" s="996" t="s">
        <v>51</v>
      </c>
    </row>
    <row r="259" spans="6:13">
      <c r="F259" s="996" t="str">
        <f>lista[[#Headers],[English]]</f>
        <v>English</v>
      </c>
      <c r="G259" s="973" t="s">
        <v>800</v>
      </c>
      <c r="H259" s="973" t="s">
        <v>707</v>
      </c>
      <c r="I259" s="973" t="s">
        <v>801</v>
      </c>
      <c r="J259" s="996" t="s">
        <v>147</v>
      </c>
      <c r="K259" s="996" t="s">
        <v>802</v>
      </c>
      <c r="L259" s="996" t="s">
        <v>706</v>
      </c>
      <c r="M259" s="996" t="s">
        <v>629</v>
      </c>
    </row>
    <row r="262" spans="6:13">
      <c r="F262" s="996" t="s">
        <v>637</v>
      </c>
      <c r="G262" s="972" t="s">
        <v>647</v>
      </c>
      <c r="H262" s="972" t="s">
        <v>648</v>
      </c>
      <c r="I262" s="972" t="s">
        <v>649</v>
      </c>
      <c r="J262" s="975" t="s">
        <v>650</v>
      </c>
    </row>
    <row r="263" spans="6:13">
      <c r="F263" s="996" t="str">
        <f>lista[[#Headers],[Svenska]]</f>
        <v>Svenska</v>
      </c>
      <c r="G263" s="971" t="s">
        <v>112</v>
      </c>
      <c r="H263" s="971" t="s">
        <v>63</v>
      </c>
      <c r="I263" s="971" t="s">
        <v>292</v>
      </c>
      <c r="J263" s="996" t="s">
        <v>51</v>
      </c>
    </row>
    <row r="264" spans="6:13">
      <c r="F264" s="996" t="str">
        <f>lista[[#Headers],[English]]</f>
        <v>English</v>
      </c>
      <c r="G264" s="973" t="s">
        <v>803</v>
      </c>
      <c r="H264" s="973" t="s">
        <v>804</v>
      </c>
      <c r="I264" s="973" t="s">
        <v>292</v>
      </c>
      <c r="J264" s="996" t="s">
        <v>805</v>
      </c>
    </row>
    <row r="267" spans="6:13">
      <c r="F267" s="996" t="s">
        <v>637</v>
      </c>
      <c r="G267" s="972" t="s">
        <v>647</v>
      </c>
      <c r="H267" s="972" t="s">
        <v>648</v>
      </c>
      <c r="I267" s="972" t="s">
        <v>649</v>
      </c>
      <c r="J267" s="975" t="s">
        <v>650</v>
      </c>
      <c r="K267" s="975" t="s">
        <v>651</v>
      </c>
      <c r="L267" s="975" t="s">
        <v>652</v>
      </c>
    </row>
    <row r="268" spans="6:13">
      <c r="F268" s="996" t="str">
        <f>lista[[#Headers],[Svenska]]</f>
        <v>Svenska</v>
      </c>
      <c r="G268" s="971" t="s">
        <v>179</v>
      </c>
      <c r="H268" s="971" t="s">
        <v>36</v>
      </c>
      <c r="I268" s="971" t="s">
        <v>255</v>
      </c>
      <c r="J268" s="996" t="s">
        <v>256</v>
      </c>
      <c r="K268" s="996" t="s">
        <v>247</v>
      </c>
      <c r="L268" s="996" t="s">
        <v>51</v>
      </c>
    </row>
    <row r="269" spans="6:13">
      <c r="F269" s="996" t="str">
        <f>lista[[#Headers],[English]]</f>
        <v>English</v>
      </c>
      <c r="G269" s="973" t="s">
        <v>800</v>
      </c>
      <c r="H269" s="973" t="s">
        <v>707</v>
      </c>
      <c r="I269" s="973" t="s">
        <v>801</v>
      </c>
      <c r="J269" s="996" t="s">
        <v>806</v>
      </c>
      <c r="K269" s="996" t="s">
        <v>706</v>
      </c>
      <c r="L269" s="996" t="s">
        <v>629</v>
      </c>
    </row>
    <row r="272" spans="6:13">
      <c r="F272" s="996" t="s">
        <v>637</v>
      </c>
      <c r="G272" s="972" t="s">
        <v>647</v>
      </c>
      <c r="H272" s="972" t="s">
        <v>648</v>
      </c>
      <c r="I272" s="972" t="s">
        <v>649</v>
      </c>
      <c r="J272" s="975" t="s">
        <v>650</v>
      </c>
      <c r="K272" s="975" t="s">
        <v>651</v>
      </c>
      <c r="L272" s="975" t="s">
        <v>652</v>
      </c>
    </row>
    <row r="273" spans="6:12">
      <c r="F273" s="996" t="str">
        <f>lista[[#Headers],[Svenska]]</f>
        <v>Svenska</v>
      </c>
      <c r="G273" s="971" t="s">
        <v>179</v>
      </c>
      <c r="H273" s="971" t="s">
        <v>36</v>
      </c>
      <c r="I273" s="971" t="s">
        <v>255</v>
      </c>
      <c r="J273" s="996" t="s">
        <v>256</v>
      </c>
      <c r="K273" s="996" t="s">
        <v>247</v>
      </c>
      <c r="L273" s="996" t="s">
        <v>51</v>
      </c>
    </row>
    <row r="274" spans="6:12">
      <c r="F274" s="996" t="str">
        <f>lista[[#Headers],[English]]</f>
        <v>English</v>
      </c>
      <c r="G274" s="973" t="s">
        <v>800</v>
      </c>
      <c r="H274" s="973" t="s">
        <v>707</v>
      </c>
      <c r="I274" s="973" t="s">
        <v>801</v>
      </c>
      <c r="J274" s="996" t="s">
        <v>806</v>
      </c>
      <c r="K274" s="996" t="s">
        <v>706</v>
      </c>
      <c r="L274" s="996" t="s">
        <v>629</v>
      </c>
    </row>
    <row r="277" spans="6:12">
      <c r="F277" s="996" t="s">
        <v>637</v>
      </c>
      <c r="G277" s="972" t="s">
        <v>647</v>
      </c>
      <c r="H277" s="972" t="s">
        <v>648</v>
      </c>
      <c r="I277" s="972" t="s">
        <v>649</v>
      </c>
    </row>
    <row r="278" spans="6:12">
      <c r="F278" s="996" t="str">
        <f>lista[[#Headers],[Svenska]]</f>
        <v>Svenska</v>
      </c>
      <c r="G278" s="971" t="s">
        <v>109</v>
      </c>
      <c r="H278" s="971" t="s">
        <v>110</v>
      </c>
      <c r="I278" s="971" t="s">
        <v>111</v>
      </c>
    </row>
    <row r="279" spans="6:12">
      <c r="F279" s="996" t="str">
        <f>lista[[#Headers],[English]]</f>
        <v>English</v>
      </c>
      <c r="G279" s="973" t="s">
        <v>109</v>
      </c>
      <c r="H279" s="973" t="s">
        <v>110</v>
      </c>
      <c r="I279" s="973" t="s">
        <v>111</v>
      </c>
    </row>
    <row r="282" spans="6:12">
      <c r="F282" s="996" t="s">
        <v>637</v>
      </c>
      <c r="G282" s="972" t="s">
        <v>647</v>
      </c>
      <c r="H282" s="972" t="s">
        <v>648</v>
      </c>
      <c r="I282" s="972" t="s">
        <v>649</v>
      </c>
      <c r="J282" s="975" t="s">
        <v>650</v>
      </c>
      <c r="K282" s="975" t="s">
        <v>651</v>
      </c>
    </row>
    <row r="283" spans="6:12">
      <c r="F283" s="996" t="str">
        <f>lista[[#Headers],[Svenska]]</f>
        <v>Svenska</v>
      </c>
      <c r="G283" s="971" t="s">
        <v>11</v>
      </c>
      <c r="H283" s="971" t="s">
        <v>20</v>
      </c>
      <c r="I283" s="971" t="s">
        <v>132</v>
      </c>
      <c r="J283" s="996" t="s">
        <v>134</v>
      </c>
      <c r="K283" s="996" t="s">
        <v>74</v>
      </c>
    </row>
    <row r="284" spans="6:12">
      <c r="F284" s="996" t="str">
        <f>lista[[#Headers],[English]]</f>
        <v>English</v>
      </c>
      <c r="G284" s="973" t="s">
        <v>674</v>
      </c>
      <c r="H284" s="973" t="s">
        <v>715</v>
      </c>
      <c r="I284" s="973" t="s">
        <v>553</v>
      </c>
      <c r="J284" s="996" t="s">
        <v>807</v>
      </c>
      <c r="K284" s="996" t="s">
        <v>659</v>
      </c>
    </row>
    <row r="287" spans="6:12">
      <c r="F287" s="996" t="s">
        <v>637</v>
      </c>
      <c r="G287" s="972" t="s">
        <v>647</v>
      </c>
      <c r="H287" s="972" t="s">
        <v>648</v>
      </c>
      <c r="I287" s="972" t="s">
        <v>649</v>
      </c>
      <c r="J287" s="975" t="s">
        <v>650</v>
      </c>
    </row>
    <row r="288" spans="6:12">
      <c r="F288" s="996" t="str">
        <f>lista[[#Headers],[Svenska]]</f>
        <v>Svenska</v>
      </c>
      <c r="G288" s="971" t="s">
        <v>196</v>
      </c>
      <c r="H288" s="971" t="s">
        <v>455</v>
      </c>
      <c r="I288" s="971" t="s">
        <v>113</v>
      </c>
      <c r="J288" s="996" t="s">
        <v>114</v>
      </c>
    </row>
    <row r="289" spans="6:14">
      <c r="F289" s="996" t="str">
        <f>lista[[#Headers],[English]]</f>
        <v>English</v>
      </c>
      <c r="G289" s="973" t="s">
        <v>808</v>
      </c>
      <c r="H289" s="973" t="s">
        <v>809</v>
      </c>
      <c r="I289" s="973" t="s">
        <v>810</v>
      </c>
      <c r="J289" s="996" t="s">
        <v>114</v>
      </c>
    </row>
    <row r="292" spans="6:14">
      <c r="F292" s="996" t="s">
        <v>637</v>
      </c>
      <c r="G292" s="972" t="s">
        <v>647</v>
      </c>
      <c r="H292" s="972" t="s">
        <v>648</v>
      </c>
      <c r="I292" s="972" t="s">
        <v>649</v>
      </c>
      <c r="J292" s="975" t="s">
        <v>650</v>
      </c>
    </row>
    <row r="293" spans="6:14">
      <c r="F293" s="996" t="str">
        <f>lista[[#Headers],[Svenska]]</f>
        <v>Svenska</v>
      </c>
      <c r="G293" s="971" t="s">
        <v>132</v>
      </c>
      <c r="H293" s="971" t="s">
        <v>11</v>
      </c>
      <c r="I293" s="971" t="s">
        <v>354</v>
      </c>
      <c r="J293" s="996" t="s">
        <v>355</v>
      </c>
    </row>
    <row r="294" spans="6:14">
      <c r="F294" s="996" t="str">
        <f>lista[[#Headers],[English]]</f>
        <v>English</v>
      </c>
      <c r="G294" s="973" t="s">
        <v>553</v>
      </c>
      <c r="H294" s="973" t="s">
        <v>674</v>
      </c>
      <c r="I294" s="973" t="s">
        <v>811</v>
      </c>
      <c r="J294" s="996" t="s">
        <v>812</v>
      </c>
    </row>
    <row r="297" spans="6:14">
      <c r="F297" s="996" t="s">
        <v>637</v>
      </c>
      <c r="G297" s="972" t="s">
        <v>647</v>
      </c>
      <c r="H297" s="972" t="s">
        <v>648</v>
      </c>
      <c r="I297" s="972" t="s">
        <v>649</v>
      </c>
    </row>
    <row r="298" spans="6:14">
      <c r="F298" s="996" t="str">
        <f>lista[[#Headers],[Svenska]]</f>
        <v>Svenska</v>
      </c>
      <c r="G298" s="971" t="s">
        <v>116</v>
      </c>
      <c r="H298" s="971" t="s">
        <v>4</v>
      </c>
      <c r="I298" s="971" t="s">
        <v>115</v>
      </c>
    </row>
    <row r="299" spans="6:14">
      <c r="F299" s="996" t="str">
        <f>lista[[#Headers],[English]]</f>
        <v>English</v>
      </c>
      <c r="G299" s="973" t="s">
        <v>813</v>
      </c>
      <c r="H299" s="973" t="s">
        <v>4</v>
      </c>
      <c r="I299" s="973" t="s">
        <v>814</v>
      </c>
    </row>
    <row r="302" spans="6:14">
      <c r="F302" s="996" t="s">
        <v>637</v>
      </c>
      <c r="G302" s="972" t="s">
        <v>647</v>
      </c>
      <c r="H302" s="972" t="s">
        <v>648</v>
      </c>
      <c r="I302" s="972" t="s">
        <v>649</v>
      </c>
      <c r="J302" s="975" t="s">
        <v>650</v>
      </c>
      <c r="K302" s="975" t="s">
        <v>651</v>
      </c>
      <c r="L302" s="975" t="s">
        <v>652</v>
      </c>
      <c r="M302" s="975" t="s">
        <v>653</v>
      </c>
      <c r="N302" s="975" t="s">
        <v>654</v>
      </c>
    </row>
    <row r="303" spans="6:14">
      <c r="F303" s="996" t="str">
        <f>lista[[#Headers],[Svenska]]</f>
        <v>Svenska</v>
      </c>
      <c r="G303" s="971" t="s">
        <v>399</v>
      </c>
      <c r="H303" s="971" t="s">
        <v>40</v>
      </c>
      <c r="I303" s="971" t="s">
        <v>212</v>
      </c>
      <c r="J303" s="996" t="s">
        <v>37</v>
      </c>
      <c r="K303" s="996" t="s">
        <v>13</v>
      </c>
      <c r="L303" s="996" t="s">
        <v>417</v>
      </c>
      <c r="M303" s="996" t="s">
        <v>416</v>
      </c>
      <c r="N303" s="996" t="s">
        <v>123</v>
      </c>
    </row>
    <row r="304" spans="6:14">
      <c r="F304" s="996" t="str">
        <f>lista[[#Headers],[English]]</f>
        <v>English</v>
      </c>
      <c r="G304" s="973" t="s">
        <v>815</v>
      </c>
      <c r="H304" s="973" t="s">
        <v>816</v>
      </c>
      <c r="I304" s="973" t="s">
        <v>212</v>
      </c>
      <c r="J304" s="996" t="s">
        <v>719</v>
      </c>
      <c r="K304" s="996" t="s">
        <v>646</v>
      </c>
      <c r="L304" s="996" t="s">
        <v>817</v>
      </c>
      <c r="M304" s="996" t="s">
        <v>818</v>
      </c>
      <c r="N304" s="996" t="s">
        <v>629</v>
      </c>
    </row>
    <row r="307" spans="3:16">
      <c r="C307" s="996" t="s">
        <v>2</v>
      </c>
      <c r="F307" s="996" t="s">
        <v>637</v>
      </c>
      <c r="G307" s="972" t="s">
        <v>647</v>
      </c>
      <c r="H307" s="972" t="s">
        <v>648</v>
      </c>
      <c r="I307" s="972" t="s">
        <v>649</v>
      </c>
    </row>
    <row r="308" spans="3:16">
      <c r="C308" s="996" t="s">
        <v>618</v>
      </c>
      <c r="F308" s="996" t="str">
        <f>lista[[#Headers],[Svenska]]</f>
        <v>Svenska</v>
      </c>
      <c r="G308" s="971" t="s">
        <v>11</v>
      </c>
      <c r="H308" s="971" t="s">
        <v>20</v>
      </c>
      <c r="I308" s="971" t="s">
        <v>132</v>
      </c>
    </row>
    <row r="309" spans="3:16">
      <c r="F309" s="996" t="str">
        <f>lista[[#Headers],[English]]</f>
        <v>English</v>
      </c>
      <c r="G309" s="973" t="s">
        <v>674</v>
      </c>
      <c r="H309" s="973" t="s">
        <v>715</v>
      </c>
      <c r="I309" s="973" t="s">
        <v>553</v>
      </c>
    </row>
    <row r="312" spans="3:16">
      <c r="F312" s="996" t="s">
        <v>637</v>
      </c>
      <c r="G312" s="972" t="s">
        <v>647</v>
      </c>
      <c r="H312" s="972" t="s">
        <v>648</v>
      </c>
      <c r="I312" s="972" t="s">
        <v>649</v>
      </c>
      <c r="J312" s="975" t="s">
        <v>650</v>
      </c>
      <c r="K312" s="975" t="s">
        <v>651</v>
      </c>
      <c r="L312" s="975" t="s">
        <v>652</v>
      </c>
      <c r="M312" s="975" t="s">
        <v>653</v>
      </c>
      <c r="N312" s="975" t="s">
        <v>654</v>
      </c>
      <c r="O312" s="975" t="s">
        <v>655</v>
      </c>
    </row>
    <row r="313" spans="3:16">
      <c r="F313" s="996" t="str">
        <f>lista[[#Headers],[Svenska]]</f>
        <v>Svenska</v>
      </c>
      <c r="G313" s="971" t="s">
        <v>129</v>
      </c>
      <c r="H313" s="971" t="s">
        <v>126</v>
      </c>
      <c r="I313" s="971" t="s">
        <v>118</v>
      </c>
      <c r="J313" s="996" t="s">
        <v>63</v>
      </c>
      <c r="K313" s="996" t="s">
        <v>125</v>
      </c>
      <c r="L313" s="996" t="s">
        <v>130</v>
      </c>
      <c r="M313" s="996" t="s">
        <v>268</v>
      </c>
      <c r="N313" s="996" t="s">
        <v>127</v>
      </c>
      <c r="O313" s="996" t="s">
        <v>51</v>
      </c>
    </row>
    <row r="314" spans="3:16">
      <c r="F314" s="996" t="str">
        <f>lista[[#Headers],[English]]</f>
        <v>English</v>
      </c>
      <c r="G314" s="973" t="s">
        <v>819</v>
      </c>
      <c r="H314" s="973" t="s">
        <v>820</v>
      </c>
      <c r="I314" s="973" t="s">
        <v>821</v>
      </c>
      <c r="J314" s="996" t="s">
        <v>804</v>
      </c>
      <c r="K314" s="996" t="s">
        <v>822</v>
      </c>
      <c r="L314" s="996" t="s">
        <v>823</v>
      </c>
      <c r="M314" s="996" t="s">
        <v>268</v>
      </c>
      <c r="N314" s="996" t="s">
        <v>824</v>
      </c>
      <c r="O314" s="996" t="s">
        <v>629</v>
      </c>
    </row>
    <row r="317" spans="3:16">
      <c r="F317" s="996" t="s">
        <v>637</v>
      </c>
      <c r="G317" s="972" t="s">
        <v>647</v>
      </c>
      <c r="H317" s="972" t="s">
        <v>648</v>
      </c>
      <c r="I317" s="972" t="s">
        <v>649</v>
      </c>
      <c r="J317" s="975" t="s">
        <v>650</v>
      </c>
      <c r="K317" s="975" t="s">
        <v>651</v>
      </c>
      <c r="L317" s="975" t="s">
        <v>652</v>
      </c>
      <c r="M317" s="975" t="s">
        <v>653</v>
      </c>
      <c r="N317" s="975" t="s">
        <v>654</v>
      </c>
      <c r="O317" s="975" t="s">
        <v>655</v>
      </c>
      <c r="P317" s="975" t="s">
        <v>656</v>
      </c>
    </row>
    <row r="318" spans="3:16">
      <c r="F318" s="996" t="str">
        <f>lista[[#Headers],[Svenska]]</f>
        <v>Svenska</v>
      </c>
      <c r="G318" s="971" t="s">
        <v>399</v>
      </c>
      <c r="H318" s="971" t="s">
        <v>40</v>
      </c>
      <c r="I318" s="971" t="s">
        <v>212</v>
      </c>
      <c r="J318" s="996" t="s">
        <v>37</v>
      </c>
      <c r="K318" s="996" t="s">
        <v>13</v>
      </c>
      <c r="L318" s="996" t="s">
        <v>94</v>
      </c>
      <c r="M318" s="996" t="s">
        <v>425</v>
      </c>
      <c r="N318" s="996" t="s">
        <v>426</v>
      </c>
      <c r="O318" s="996" t="s">
        <v>95</v>
      </c>
      <c r="P318" s="996" t="s">
        <v>123</v>
      </c>
    </row>
    <row r="319" spans="3:16">
      <c r="F319" s="996" t="str">
        <f>lista[[#Headers],[English]]</f>
        <v>English</v>
      </c>
      <c r="G319" s="973" t="s">
        <v>815</v>
      </c>
      <c r="H319" s="973" t="s">
        <v>687</v>
      </c>
      <c r="I319" s="973" t="s">
        <v>212</v>
      </c>
      <c r="J319" s="996" t="s">
        <v>719</v>
      </c>
      <c r="K319" s="996" t="s">
        <v>646</v>
      </c>
      <c r="L319" s="996" t="s">
        <v>591</v>
      </c>
      <c r="M319" s="996" t="s">
        <v>825</v>
      </c>
      <c r="N319" s="996" t="s">
        <v>641</v>
      </c>
      <c r="O319" s="996" t="s">
        <v>728</v>
      </c>
      <c r="P319" s="996" t="s">
        <v>629</v>
      </c>
    </row>
    <row r="322" spans="6:12">
      <c r="F322" s="996" t="s">
        <v>637</v>
      </c>
      <c r="G322" s="972" t="s">
        <v>647</v>
      </c>
      <c r="H322" s="972" t="s">
        <v>648</v>
      </c>
      <c r="I322" s="972" t="s">
        <v>649</v>
      </c>
      <c r="J322" s="975" t="s">
        <v>650</v>
      </c>
      <c r="K322" s="975" t="s">
        <v>651</v>
      </c>
    </row>
    <row r="323" spans="6:12">
      <c r="F323" s="996" t="str">
        <f>lista[[#Headers],[Svenska]]</f>
        <v>Svenska</v>
      </c>
      <c r="G323" s="971" t="s">
        <v>40</v>
      </c>
      <c r="H323" s="971" t="s">
        <v>22</v>
      </c>
      <c r="I323" s="971" t="s">
        <v>2</v>
      </c>
      <c r="J323" s="996" t="s">
        <v>9</v>
      </c>
      <c r="K323" s="996" t="s">
        <v>269</v>
      </c>
    </row>
    <row r="324" spans="6:12">
      <c r="F324" s="996" t="str">
        <f>lista[[#Headers],[English]]</f>
        <v>English</v>
      </c>
      <c r="G324" s="973" t="s">
        <v>687</v>
      </c>
      <c r="H324" s="973" t="s">
        <v>615</v>
      </c>
      <c r="I324" s="973" t="s">
        <v>618</v>
      </c>
      <c r="J324" s="996" t="s">
        <v>9</v>
      </c>
      <c r="K324" s="996" t="s">
        <v>857</v>
      </c>
    </row>
    <row r="327" spans="6:12">
      <c r="F327" s="996" t="s">
        <v>637</v>
      </c>
      <c r="G327" s="972" t="s">
        <v>647</v>
      </c>
      <c r="H327" s="972" t="s">
        <v>648</v>
      </c>
      <c r="I327" s="972" t="s">
        <v>649</v>
      </c>
      <c r="J327" s="975" t="s">
        <v>650</v>
      </c>
      <c r="K327" s="975" t="s">
        <v>651</v>
      </c>
      <c r="L327" s="975" t="s">
        <v>652</v>
      </c>
    </row>
    <row r="328" spans="6:12">
      <c r="F328" s="996" t="str">
        <f>lista[[#Headers],[Svenska]]</f>
        <v>Svenska</v>
      </c>
      <c r="G328" s="971" t="s">
        <v>40</v>
      </c>
      <c r="H328" s="971" t="s">
        <v>22</v>
      </c>
      <c r="I328" s="996" t="s">
        <v>2</v>
      </c>
      <c r="J328" s="996" t="s">
        <v>9</v>
      </c>
      <c r="K328" s="997" t="s">
        <v>269</v>
      </c>
    </row>
    <row r="329" spans="6:12">
      <c r="F329" s="996" t="str">
        <f>lista[[#Headers],[English]]</f>
        <v>English</v>
      </c>
      <c r="G329" s="973" t="s">
        <v>687</v>
      </c>
      <c r="H329" s="973" t="s">
        <v>615</v>
      </c>
      <c r="I329" s="996" t="s">
        <v>618</v>
      </c>
      <c r="J329" s="996" t="s">
        <v>9</v>
      </c>
      <c r="K329" s="997" t="s">
        <v>857</v>
      </c>
    </row>
    <row r="332" spans="6:12">
      <c r="F332" s="996" t="s">
        <v>637</v>
      </c>
      <c r="G332" s="972" t="s">
        <v>647</v>
      </c>
      <c r="H332" s="972" t="s">
        <v>648</v>
      </c>
      <c r="I332" s="972" t="s">
        <v>649</v>
      </c>
      <c r="J332" s="975" t="s">
        <v>650</v>
      </c>
      <c r="K332" s="975" t="s">
        <v>651</v>
      </c>
      <c r="L332" s="975" t="s">
        <v>652</v>
      </c>
    </row>
    <row r="333" spans="6:12">
      <c r="F333" s="996" t="str">
        <f>lista[[#Headers],[Svenska]]</f>
        <v>Svenska</v>
      </c>
      <c r="G333" s="971" t="s">
        <v>40</v>
      </c>
      <c r="H333" s="971" t="s">
        <v>22</v>
      </c>
      <c r="I333" s="971" t="s">
        <v>399</v>
      </c>
      <c r="J333" s="996" t="s">
        <v>428</v>
      </c>
      <c r="K333" s="996" t="s">
        <v>31</v>
      </c>
      <c r="L333" s="996" t="s">
        <v>16</v>
      </c>
    </row>
    <row r="334" spans="6:12">
      <c r="F334" s="996" t="str">
        <f>lista[[#Headers],[English]]</f>
        <v>English</v>
      </c>
      <c r="G334" s="973" t="s">
        <v>687</v>
      </c>
      <c r="H334" s="973" t="s">
        <v>615</v>
      </c>
      <c r="I334" s="973" t="s">
        <v>815</v>
      </c>
      <c r="J334" s="996" t="s">
        <v>826</v>
      </c>
      <c r="K334" s="996" t="s">
        <v>673</v>
      </c>
      <c r="L334" s="996" t="s">
        <v>643</v>
      </c>
    </row>
    <row r="337" spans="6:12">
      <c r="F337" s="996" t="s">
        <v>637</v>
      </c>
      <c r="G337" s="972" t="s">
        <v>647</v>
      </c>
      <c r="H337" s="972" t="s">
        <v>648</v>
      </c>
      <c r="I337" s="972" t="s">
        <v>649</v>
      </c>
      <c r="J337" s="975" t="s">
        <v>650</v>
      </c>
    </row>
    <row r="338" spans="6:12">
      <c r="F338" s="996" t="str">
        <f>lista[[#Headers],[Svenska]]</f>
        <v>Svenska</v>
      </c>
      <c r="G338" s="971" t="s">
        <v>217</v>
      </c>
      <c r="H338" s="971" t="s">
        <v>224</v>
      </c>
      <c r="I338" s="971" t="s">
        <v>31</v>
      </c>
      <c r="J338" s="996" t="s">
        <v>20</v>
      </c>
    </row>
    <row r="339" spans="6:12">
      <c r="F339" s="996" t="str">
        <f>lista[[#Headers],[English]]</f>
        <v>English</v>
      </c>
      <c r="G339" s="973" t="s">
        <v>827</v>
      </c>
      <c r="H339" s="973" t="s">
        <v>828</v>
      </c>
      <c r="I339" s="973" t="s">
        <v>673</v>
      </c>
      <c r="J339" s="996" t="s">
        <v>829</v>
      </c>
    </row>
    <row r="342" spans="6:12">
      <c r="F342" s="996" t="s">
        <v>637</v>
      </c>
      <c r="G342" s="972" t="s">
        <v>647</v>
      </c>
      <c r="H342" s="972" t="s">
        <v>648</v>
      </c>
      <c r="I342" s="972" t="s">
        <v>649</v>
      </c>
      <c r="J342" s="975" t="s">
        <v>650</v>
      </c>
      <c r="K342" s="975" t="s">
        <v>651</v>
      </c>
      <c r="L342" s="975" t="s">
        <v>652</v>
      </c>
    </row>
    <row r="343" spans="6:12">
      <c r="F343" s="996" t="str">
        <f>lista[[#Headers],[Svenska]]</f>
        <v>Svenska</v>
      </c>
      <c r="G343" s="971" t="s">
        <v>169</v>
      </c>
      <c r="H343" s="971" t="s">
        <v>170</v>
      </c>
      <c r="I343" s="971" t="s">
        <v>745</v>
      </c>
      <c r="J343" s="996" t="s">
        <v>171</v>
      </c>
      <c r="K343" s="996" t="s">
        <v>172</v>
      </c>
      <c r="L343" s="996" t="s">
        <v>173</v>
      </c>
    </row>
    <row r="344" spans="6:12">
      <c r="F344" s="996" t="str">
        <f>lista[[#Headers],[English]]</f>
        <v>English</v>
      </c>
      <c r="G344" s="973" t="s">
        <v>830</v>
      </c>
      <c r="H344" s="973" t="s">
        <v>831</v>
      </c>
      <c r="I344" s="973" t="s">
        <v>832</v>
      </c>
      <c r="J344" s="996" t="s">
        <v>833</v>
      </c>
      <c r="K344" s="996" t="s">
        <v>834</v>
      </c>
      <c r="L344" s="996" t="s">
        <v>835</v>
      </c>
    </row>
    <row r="347" spans="6:12">
      <c r="F347" s="996" t="s">
        <v>68</v>
      </c>
      <c r="G347" s="972" t="s">
        <v>647</v>
      </c>
      <c r="H347" s="972" t="s">
        <v>648</v>
      </c>
      <c r="I347" s="972" t="s">
        <v>649</v>
      </c>
      <c r="J347" s="975" t="s">
        <v>650</v>
      </c>
      <c r="K347" s="975" t="s">
        <v>651</v>
      </c>
      <c r="L347" s="975" t="s">
        <v>652</v>
      </c>
    </row>
    <row r="348" spans="6:12">
      <c r="F348" s="996" t="str">
        <f>lista[[#Headers],[Svenska]]</f>
        <v>Svenska</v>
      </c>
      <c r="G348" s="971" t="s">
        <v>169</v>
      </c>
      <c r="H348" s="971" t="s">
        <v>170</v>
      </c>
      <c r="I348" s="971" t="s">
        <v>745</v>
      </c>
      <c r="J348" s="996" t="s">
        <v>171</v>
      </c>
      <c r="K348" s="996" t="s">
        <v>172</v>
      </c>
      <c r="L348" s="996" t="s">
        <v>173</v>
      </c>
    </row>
    <row r="349" spans="6:12">
      <c r="F349" s="996" t="str">
        <f>lista[[#Headers],[English]]</f>
        <v>English</v>
      </c>
      <c r="G349" s="973" t="s">
        <v>830</v>
      </c>
      <c r="H349" s="973" t="s">
        <v>831</v>
      </c>
      <c r="I349" s="973" t="s">
        <v>832</v>
      </c>
      <c r="J349" s="996" t="s">
        <v>833</v>
      </c>
      <c r="K349" s="996" t="s">
        <v>834</v>
      </c>
      <c r="L349" s="996" t="s">
        <v>835</v>
      </c>
    </row>
  </sheetData>
  <sheetProtection selectLockedCells="1" selectUnlockedCells="1"/>
  <hyperlinks>
    <hyperlink ref="B90" location="Innehåll!A1" display="Innehåll"/>
    <hyperlink ref="B179" r:id="rId1"/>
    <hyperlink ref="B186" r:id="rId2"/>
    <hyperlink ref="C186" r:id="rId3"/>
    <hyperlink ref="C189" r:id="rId4"/>
    <hyperlink ref="C192" r:id="rId5"/>
  </hyperlinks>
  <pageMargins left="0.78740157480314965" right="0.78740157480314965" top="1.1023622047244095" bottom="0.62992125984251968" header="0.31496062992125984" footer="0.31496062992125984"/>
  <pageSetup paperSize="9" orientation="portrait" r:id="rId6"/>
  <headerFooter>
    <oddHeader>&amp;L&amp;G</oddHeader>
  </headerFooter>
  <ignoredErrors>
    <ignoredError sqref="F209" calculatedColumn="1"/>
  </ignoredErrors>
  <legacyDrawingHF r:id="rId7"/>
  <tableParts count="71">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6" tint="0.39997558519241921"/>
  </sheetPr>
  <dimension ref="A1:S62"/>
  <sheetViews>
    <sheetView zoomScaleNormal="100" workbookViewId="0">
      <pane ySplit="6" topLeftCell="A7" activePane="bottomLeft" state="frozen"/>
      <selection pane="bottomLeft" activeCell="G1" sqref="G1"/>
    </sheetView>
  </sheetViews>
  <sheetFormatPr defaultColWidth="3.59765625" defaultRowHeight="11.65"/>
  <cols>
    <col min="1" max="1" width="9.265625" style="61" customWidth="1"/>
    <col min="2" max="2" width="13.86328125" style="61" customWidth="1"/>
    <col min="3" max="5" width="10.73046875" style="61" customWidth="1"/>
    <col min="6" max="6" width="13.86328125" style="77" customWidth="1"/>
    <col min="7" max="7" width="16" style="77" customWidth="1"/>
    <col min="8" max="8" width="10.73046875" style="77" customWidth="1"/>
    <col min="9" max="9" width="10.73046875" style="61" customWidth="1"/>
    <col min="10" max="10" width="5.3984375" style="61" bestFit="1" customWidth="1"/>
    <col min="11" max="16384" width="3.59765625" style="61"/>
  </cols>
  <sheetData>
    <row r="1" spans="1:19" ht="15.95" customHeight="1">
      <c r="A1" s="524" t="str">
        <f>IF(språk=lista[[#Headers],[Svenska]],"Innehåll",IF(språk=lista[[#Headers],[English]],"Contents","FEL"))</f>
        <v>Contents</v>
      </c>
      <c r="B1" s="70"/>
      <c r="C1" s="70"/>
      <c r="D1" s="70"/>
      <c r="E1" s="70"/>
      <c r="F1" s="70"/>
      <c r="G1" s="70"/>
      <c r="H1" s="70"/>
      <c r="I1" s="70"/>
      <c r="J1" s="70"/>
      <c r="K1" s="70"/>
      <c r="L1" s="70"/>
      <c r="M1" s="70"/>
      <c r="N1" s="70"/>
      <c r="O1" s="70"/>
      <c r="P1" s="70"/>
      <c r="Q1" s="70"/>
      <c r="R1" s="70"/>
      <c r="S1" s="70"/>
    </row>
    <row r="2" spans="1:19" ht="15.95" customHeight="1">
      <c r="A2" s="70"/>
      <c r="B2" s="70"/>
      <c r="C2" s="70"/>
      <c r="D2" s="70"/>
      <c r="E2" s="70"/>
      <c r="F2" s="70"/>
      <c r="G2" s="70"/>
      <c r="H2" s="70"/>
      <c r="I2" s="70"/>
      <c r="J2" s="70"/>
      <c r="K2" s="70"/>
      <c r="L2" s="70"/>
      <c r="M2" s="70"/>
      <c r="N2" s="70"/>
      <c r="O2" s="70"/>
      <c r="P2" s="70"/>
      <c r="Q2" s="70"/>
      <c r="R2" s="70"/>
      <c r="S2" s="70"/>
    </row>
    <row r="3" spans="1:19" ht="15.95" customHeight="1">
      <c r="A3" s="405" t="str">
        <f>IFERROR(INDEX(lista[],MATCH($A5,lista[ID],0),MATCH(språk,lista[#Headers],0)),"")</f>
        <v>Final energy use in the residential and services sector by subsector, from 1983, TWh</v>
      </c>
      <c r="B3" s="405"/>
      <c r="C3" s="405"/>
      <c r="D3" s="405"/>
      <c r="E3" s="405"/>
      <c r="F3" s="405"/>
      <c r="G3" s="405"/>
      <c r="H3" s="405"/>
      <c r="I3" s="405"/>
      <c r="J3" s="71"/>
      <c r="K3" s="70"/>
      <c r="L3" s="70"/>
      <c r="M3" s="70"/>
      <c r="N3" s="70"/>
      <c r="O3" s="70"/>
      <c r="P3" s="70"/>
      <c r="Q3" s="70"/>
      <c r="R3" s="70"/>
      <c r="S3" s="70"/>
    </row>
    <row r="4" spans="1:19" ht="15.95" customHeight="1">
      <c r="A4" s="393"/>
      <c r="B4" s="70"/>
      <c r="C4" s="70"/>
      <c r="D4" s="70"/>
      <c r="E4" s="70"/>
      <c r="F4" s="70"/>
      <c r="G4" s="70"/>
      <c r="H4" s="70"/>
      <c r="I4" s="70"/>
      <c r="J4" s="70"/>
      <c r="K4" s="70"/>
      <c r="L4" s="70"/>
      <c r="M4" s="70"/>
      <c r="N4" s="70"/>
      <c r="O4" s="70"/>
      <c r="P4" s="70"/>
      <c r="Q4" s="70"/>
      <c r="R4" s="70"/>
      <c r="S4" s="70"/>
    </row>
    <row r="5" spans="1:19" ht="15.95" hidden="1" customHeight="1">
      <c r="A5" s="393">
        <v>15</v>
      </c>
      <c r="B5" s="70" t="s">
        <v>647</v>
      </c>
      <c r="C5" s="70" t="s">
        <v>648</v>
      </c>
      <c r="D5" s="70" t="s">
        <v>649</v>
      </c>
      <c r="E5" s="70" t="s">
        <v>650</v>
      </c>
      <c r="F5" s="70" t="s">
        <v>651</v>
      </c>
      <c r="G5" s="70" t="s">
        <v>652</v>
      </c>
      <c r="H5" s="70" t="s">
        <v>653</v>
      </c>
      <c r="I5" s="70"/>
      <c r="J5" s="70"/>
      <c r="K5" s="70"/>
      <c r="L5" s="70"/>
      <c r="M5" s="70"/>
      <c r="N5" s="70"/>
      <c r="O5" s="70"/>
      <c r="P5" s="70"/>
      <c r="Q5" s="70"/>
      <c r="R5" s="70"/>
      <c r="S5" s="70"/>
    </row>
    <row r="6" spans="1:19" ht="26.25">
      <c r="A6" s="72"/>
      <c r="B6" s="73" t="str">
        <f>IFERROR(INDEX(_3.3[],MATCH(språk,_3.3[[id]:[id]],0),MATCH(B$5,_3.3[#Headers],0)),"")</f>
        <v>Electric heating</v>
      </c>
      <c r="C6" s="73" t="str">
        <f>IFERROR(INDEX(_3.2[],MATCH(språk,_3.2[[id]:[id]],0),MATCH(C$5,_3.2[#Headers],0)),"")</f>
        <v>Agriculture</v>
      </c>
      <c r="D6" s="73" t="str">
        <f>IFERROR(INDEX(_3.2[],MATCH(språk,_3.2[[id]:[id]],0),MATCH(D$5,_3.2[#Headers],0)),"")</f>
        <v>Forestry</v>
      </c>
      <c r="E6" s="73" t="str">
        <f>IFERROR(INDEX(_3.2[],MATCH(språk,_3.2[[id]:[id]],0),MATCH(E$5,_3.2[#Headers],0)),"")</f>
        <v>Fishing</v>
      </c>
      <c r="F6" s="73" t="str">
        <f>IFERROR(INDEX(_3.2[],MATCH(språk,_3.2[[id]:[id]],0),MATCH(F$5,_3.2[#Headers],0)),"")</f>
        <v>Public administration</v>
      </c>
      <c r="G6" s="73" t="str">
        <f>IFERROR(INDEX(_3.2[],MATCH(språk,_3.2[[id]:[id]],0),MATCH(G$5,_3.2[#Headers],0)),"")</f>
        <v>Commercial</v>
      </c>
      <c r="H6" s="73" t="str">
        <f>IFERROR(INDEX(_3.2[],MATCH(språk,_3.2[[id]:[id]],0),MATCH(H$5,_3.2[#Headers],0)),"")</f>
        <v>Households</v>
      </c>
      <c r="I6" s="74" t="str">
        <f>IF(språk=lista[[#Headers],[Svenska]],"Totalt",IF(språk=lista[[#Headers],[English]],"Total","FEL"))</f>
        <v>Total</v>
      </c>
      <c r="J6" s="75"/>
      <c r="K6" s="75"/>
      <c r="L6" s="70"/>
      <c r="M6" s="70"/>
      <c r="N6" s="70"/>
      <c r="O6" s="70"/>
      <c r="P6" s="70"/>
      <c r="Q6" s="70"/>
      <c r="R6" s="70"/>
      <c r="S6" s="70"/>
    </row>
    <row r="7" spans="1:19" ht="15.95" customHeight="1">
      <c r="A7" s="76">
        <v>1983</v>
      </c>
      <c r="B7" s="621">
        <v>3.8925000000000001</v>
      </c>
      <c r="C7" s="621">
        <v>6.4994444444444444</v>
      </c>
      <c r="D7" s="621">
        <v>1.2275</v>
      </c>
      <c r="E7" s="621">
        <v>0</v>
      </c>
      <c r="F7" s="621">
        <v>23.156388888888888</v>
      </c>
      <c r="G7" s="621">
        <v>18.664999999999999</v>
      </c>
      <c r="H7" s="621">
        <v>91.918888888888887</v>
      </c>
      <c r="I7" s="619">
        <v>145.35972222222222</v>
      </c>
      <c r="J7" s="244"/>
      <c r="K7" s="70"/>
      <c r="L7" s="70"/>
      <c r="M7" s="70"/>
      <c r="N7" s="70"/>
      <c r="O7" s="70"/>
      <c r="P7" s="70"/>
      <c r="Q7" s="70"/>
      <c r="R7" s="70"/>
      <c r="S7" s="70"/>
    </row>
    <row r="8" spans="1:19" ht="15.95" customHeight="1">
      <c r="A8" s="913">
        <v>1984</v>
      </c>
      <c r="B8" s="914">
        <v>3.9244444444444442</v>
      </c>
      <c r="C8" s="914">
        <v>6.5708333333333329</v>
      </c>
      <c r="D8" s="914">
        <v>1.2275</v>
      </c>
      <c r="E8" s="914">
        <v>0</v>
      </c>
      <c r="F8" s="914">
        <v>22.523611111111109</v>
      </c>
      <c r="G8" s="914">
        <v>19.086944444444445</v>
      </c>
      <c r="H8" s="914">
        <v>91.749166666666667</v>
      </c>
      <c r="I8" s="915">
        <v>145.08249999999998</v>
      </c>
      <c r="J8" s="244"/>
      <c r="K8" s="70"/>
      <c r="L8" s="70"/>
      <c r="M8" s="70"/>
      <c r="N8" s="70"/>
      <c r="O8" s="70"/>
      <c r="P8" s="70"/>
      <c r="Q8" s="70"/>
      <c r="R8" s="70"/>
      <c r="S8" s="70"/>
    </row>
    <row r="9" spans="1:19" ht="15.95" customHeight="1">
      <c r="A9" s="76">
        <v>1985</v>
      </c>
      <c r="B9" s="621">
        <v>3.9233333333333329</v>
      </c>
      <c r="C9" s="621">
        <v>7.2191666666666663</v>
      </c>
      <c r="D9" s="621">
        <v>1.2372222222222222</v>
      </c>
      <c r="E9" s="621">
        <v>0</v>
      </c>
      <c r="F9" s="621">
        <v>24.673611111111111</v>
      </c>
      <c r="G9" s="621">
        <v>21.944166666666668</v>
      </c>
      <c r="H9" s="621">
        <v>102.00583333333333</v>
      </c>
      <c r="I9" s="619">
        <v>161.00333333333333</v>
      </c>
      <c r="J9" s="244"/>
      <c r="K9" s="70"/>
      <c r="L9" s="70"/>
      <c r="M9" s="70"/>
      <c r="N9" s="70"/>
      <c r="O9" s="70"/>
      <c r="P9" s="70"/>
      <c r="Q9" s="70"/>
      <c r="R9" s="70"/>
      <c r="S9" s="70"/>
    </row>
    <row r="10" spans="1:19" ht="15.95" customHeight="1">
      <c r="A10" s="913">
        <v>1986</v>
      </c>
      <c r="B10" s="914">
        <v>3.907777777777778</v>
      </c>
      <c r="C10" s="914">
        <v>7.2183333333333328</v>
      </c>
      <c r="D10" s="914">
        <v>1.2375</v>
      </c>
      <c r="E10" s="914">
        <v>0</v>
      </c>
      <c r="F10" s="914">
        <v>22.175555555555555</v>
      </c>
      <c r="G10" s="914">
        <v>21.583611111111111</v>
      </c>
      <c r="H10" s="914">
        <v>99.276944444444439</v>
      </c>
      <c r="I10" s="915">
        <v>155.39972222222221</v>
      </c>
      <c r="J10" s="244"/>
      <c r="K10" s="70"/>
      <c r="L10" s="70"/>
      <c r="M10" s="70"/>
      <c r="N10" s="70"/>
      <c r="O10" s="70"/>
      <c r="P10" s="70"/>
      <c r="Q10" s="70"/>
      <c r="R10" s="70"/>
      <c r="S10" s="70"/>
    </row>
    <row r="11" spans="1:19" ht="15.95" customHeight="1">
      <c r="A11" s="76">
        <v>1987</v>
      </c>
      <c r="B11" s="621">
        <v>4.0022222222222226</v>
      </c>
      <c r="C11" s="621">
        <v>7.4824999999999999</v>
      </c>
      <c r="D11" s="621">
        <v>1.2472222222222222</v>
      </c>
      <c r="E11" s="621">
        <v>0</v>
      </c>
      <c r="F11" s="621">
        <v>22.813055555555554</v>
      </c>
      <c r="G11" s="621">
        <v>24.717222222222222</v>
      </c>
      <c r="H11" s="621">
        <v>102.40083333333332</v>
      </c>
      <c r="I11" s="619">
        <v>162.66305555555556</v>
      </c>
      <c r="J11" s="244"/>
      <c r="K11" s="70"/>
      <c r="L11" s="70"/>
      <c r="M11" s="70"/>
      <c r="N11" s="70"/>
      <c r="O11" s="70"/>
      <c r="P11" s="70"/>
      <c r="Q11" s="70"/>
      <c r="R11" s="70"/>
      <c r="S11" s="70"/>
    </row>
    <row r="12" spans="1:19" ht="15.95" customHeight="1">
      <c r="A12" s="913">
        <v>1988</v>
      </c>
      <c r="B12" s="914">
        <v>4.1380555555555558</v>
      </c>
      <c r="C12" s="914">
        <v>6.9655555555555555</v>
      </c>
      <c r="D12" s="914">
        <v>1.2952777777777778</v>
      </c>
      <c r="E12" s="914">
        <v>0</v>
      </c>
      <c r="F12" s="914">
        <v>23.816388888888888</v>
      </c>
      <c r="G12" s="914">
        <v>23.389722222222222</v>
      </c>
      <c r="H12" s="914">
        <v>95.058055555555541</v>
      </c>
      <c r="I12" s="915">
        <v>154.66305555555553</v>
      </c>
      <c r="J12" s="244"/>
      <c r="K12" s="70"/>
      <c r="L12" s="70"/>
      <c r="M12" s="70"/>
      <c r="N12" s="70"/>
      <c r="O12" s="70"/>
      <c r="P12" s="70"/>
      <c r="Q12" s="70"/>
      <c r="R12" s="70"/>
      <c r="S12" s="70"/>
    </row>
    <row r="13" spans="1:19" ht="15.95" customHeight="1">
      <c r="A13" s="76">
        <v>1989</v>
      </c>
      <c r="B13" s="621">
        <v>3.9880555555555555</v>
      </c>
      <c r="C13" s="621">
        <v>6.7172222222222215</v>
      </c>
      <c r="D13" s="621">
        <v>1.3536111111111111</v>
      </c>
      <c r="E13" s="621">
        <v>0</v>
      </c>
      <c r="F13" s="621">
        <v>21.781944444444445</v>
      </c>
      <c r="G13" s="621">
        <v>23.193055555555556</v>
      </c>
      <c r="H13" s="621">
        <v>90.990555555555545</v>
      </c>
      <c r="I13" s="619">
        <v>148.02444444444444</v>
      </c>
      <c r="J13" s="244"/>
      <c r="K13" s="70"/>
      <c r="L13" s="70"/>
      <c r="M13" s="70"/>
      <c r="N13" s="70"/>
      <c r="O13" s="70"/>
      <c r="P13" s="70"/>
      <c r="Q13" s="70"/>
      <c r="R13" s="70"/>
      <c r="S13" s="70"/>
    </row>
    <row r="14" spans="1:19" ht="15.95" customHeight="1">
      <c r="A14" s="913">
        <v>1990</v>
      </c>
      <c r="B14" s="914">
        <v>4.139444444444444</v>
      </c>
      <c r="C14" s="914">
        <v>7.0822222222222218</v>
      </c>
      <c r="D14" s="914">
        <v>1.2647222222222221</v>
      </c>
      <c r="E14" s="914">
        <v>0</v>
      </c>
      <c r="F14" s="914">
        <v>21.714444444444446</v>
      </c>
      <c r="G14" s="914">
        <v>24.063055555555554</v>
      </c>
      <c r="H14" s="914">
        <v>91.487499999999997</v>
      </c>
      <c r="I14" s="915">
        <v>149.75138888888887</v>
      </c>
      <c r="J14" s="244"/>
      <c r="K14" s="70"/>
      <c r="L14" s="70"/>
      <c r="M14" s="70"/>
      <c r="N14" s="70"/>
      <c r="O14" s="70"/>
      <c r="P14" s="70"/>
      <c r="Q14" s="70"/>
      <c r="R14" s="70"/>
      <c r="S14" s="70"/>
    </row>
    <row r="15" spans="1:19" ht="15.95" customHeight="1">
      <c r="A15" s="76">
        <v>1991</v>
      </c>
      <c r="B15" s="621">
        <v>4.2669444444444444</v>
      </c>
      <c r="C15" s="621">
        <v>6.5813888888888883</v>
      </c>
      <c r="D15" s="621">
        <v>1.2558333333333334</v>
      </c>
      <c r="E15" s="621">
        <v>0</v>
      </c>
      <c r="F15" s="621">
        <v>22.606388888888887</v>
      </c>
      <c r="G15" s="621">
        <v>25.813055555555554</v>
      </c>
      <c r="H15" s="621">
        <v>96.061666666666667</v>
      </c>
      <c r="I15" s="619">
        <v>156.58527777777778</v>
      </c>
      <c r="J15" s="244"/>
      <c r="K15" s="70"/>
      <c r="L15" s="70"/>
      <c r="M15" s="70"/>
      <c r="N15" s="70"/>
      <c r="O15" s="70"/>
      <c r="P15" s="70"/>
      <c r="Q15" s="70"/>
      <c r="R15" s="70"/>
      <c r="S15" s="70"/>
    </row>
    <row r="16" spans="1:19" ht="15.95" customHeight="1">
      <c r="A16" s="913">
        <v>1992</v>
      </c>
      <c r="B16" s="914">
        <v>4.0025000000000004</v>
      </c>
      <c r="C16" s="914">
        <v>6.1275000000000004</v>
      </c>
      <c r="D16" s="914">
        <v>1.2755555555555553</v>
      </c>
      <c r="E16" s="914">
        <v>0</v>
      </c>
      <c r="F16" s="914">
        <v>21.148333333333333</v>
      </c>
      <c r="G16" s="914">
        <v>25.939722222222223</v>
      </c>
      <c r="H16" s="914">
        <v>94.106388888888887</v>
      </c>
      <c r="I16" s="915">
        <v>152.6</v>
      </c>
      <c r="J16" s="244"/>
      <c r="K16" s="70"/>
      <c r="L16" s="70"/>
      <c r="M16" s="70"/>
      <c r="N16" s="70"/>
      <c r="O16" s="70"/>
      <c r="P16" s="70"/>
      <c r="Q16" s="70"/>
      <c r="R16" s="70"/>
      <c r="S16" s="70"/>
    </row>
    <row r="17" spans="1:19" ht="15.95" customHeight="1">
      <c r="A17" s="76">
        <v>1993</v>
      </c>
      <c r="B17" s="621">
        <v>3.8469444444444445</v>
      </c>
      <c r="C17" s="621">
        <v>6.6152777777777771</v>
      </c>
      <c r="D17" s="621">
        <v>1.2966666666666666</v>
      </c>
      <c r="E17" s="621">
        <v>0</v>
      </c>
      <c r="F17" s="621">
        <v>21.14916666666667</v>
      </c>
      <c r="G17" s="621">
        <v>26.883055555555554</v>
      </c>
      <c r="H17" s="621">
        <v>96.883611111111108</v>
      </c>
      <c r="I17" s="619">
        <v>156.67472222222221</v>
      </c>
      <c r="J17" s="244"/>
      <c r="K17" s="70"/>
      <c r="L17" s="70"/>
      <c r="M17" s="70"/>
      <c r="N17" s="70"/>
      <c r="O17" s="70"/>
      <c r="P17" s="70"/>
      <c r="Q17" s="70"/>
      <c r="R17" s="70"/>
      <c r="S17" s="70"/>
    </row>
    <row r="18" spans="1:19" ht="15.95" customHeight="1">
      <c r="A18" s="913">
        <v>1994</v>
      </c>
      <c r="B18" s="914">
        <v>3.6183333333333332</v>
      </c>
      <c r="C18" s="914">
        <v>6.6</v>
      </c>
      <c r="D18" s="914">
        <v>1.3558333333333332</v>
      </c>
      <c r="E18" s="914">
        <v>0</v>
      </c>
      <c r="F18" s="914">
        <v>19.818888888888885</v>
      </c>
      <c r="G18" s="914">
        <v>28.262222222222224</v>
      </c>
      <c r="H18" s="914">
        <v>97.274166666666673</v>
      </c>
      <c r="I18" s="915">
        <v>156.92944444444444</v>
      </c>
      <c r="J18" s="244"/>
      <c r="K18" s="70"/>
      <c r="L18" s="70"/>
      <c r="M18" s="70"/>
      <c r="N18" s="70"/>
      <c r="O18" s="70"/>
      <c r="P18" s="70"/>
      <c r="Q18" s="70"/>
      <c r="R18" s="70"/>
      <c r="S18" s="70"/>
    </row>
    <row r="19" spans="1:19" ht="15.95" customHeight="1">
      <c r="A19" s="76">
        <v>1995</v>
      </c>
      <c r="B19" s="621">
        <v>3.4933333333333332</v>
      </c>
      <c r="C19" s="621">
        <v>6.5327777777777776</v>
      </c>
      <c r="D19" s="621">
        <v>1.4350000000000001</v>
      </c>
      <c r="E19" s="621">
        <v>0</v>
      </c>
      <c r="F19" s="621">
        <v>20.534166666666668</v>
      </c>
      <c r="G19" s="621">
        <v>26.905000000000001</v>
      </c>
      <c r="H19" s="621">
        <v>97.964166666666671</v>
      </c>
      <c r="I19" s="619">
        <v>156.86444444444444</v>
      </c>
      <c r="J19" s="244"/>
      <c r="K19" s="70"/>
      <c r="L19" s="70"/>
      <c r="M19" s="70"/>
      <c r="N19" s="70"/>
      <c r="O19" s="70"/>
      <c r="P19" s="70"/>
      <c r="Q19" s="70"/>
      <c r="R19" s="70"/>
      <c r="S19" s="70"/>
    </row>
    <row r="20" spans="1:19" ht="15.95" customHeight="1">
      <c r="A20" s="913">
        <v>1996</v>
      </c>
      <c r="B20" s="914">
        <v>3.5772222222222223</v>
      </c>
      <c r="C20" s="914">
        <v>6.7447222222222214</v>
      </c>
      <c r="D20" s="914">
        <v>1.4941666666666666</v>
      </c>
      <c r="E20" s="914">
        <v>0</v>
      </c>
      <c r="F20" s="914">
        <v>19.728333333333332</v>
      </c>
      <c r="G20" s="914">
        <v>29.471388888888885</v>
      </c>
      <c r="H20" s="914">
        <v>101.88944444444444</v>
      </c>
      <c r="I20" s="915">
        <v>162.90527777777777</v>
      </c>
      <c r="J20" s="244"/>
      <c r="K20" s="70"/>
      <c r="L20" s="70"/>
      <c r="M20" s="70"/>
      <c r="N20" s="70"/>
      <c r="O20" s="70"/>
      <c r="P20" s="70"/>
      <c r="Q20" s="70"/>
      <c r="R20" s="70"/>
      <c r="S20" s="70"/>
    </row>
    <row r="21" spans="1:19" ht="15.95" customHeight="1">
      <c r="A21" s="76">
        <v>1997</v>
      </c>
      <c r="B21" s="621">
        <v>3.3236111111111111</v>
      </c>
      <c r="C21" s="621">
        <v>6.8744444444444444</v>
      </c>
      <c r="D21" s="621">
        <v>1.5633333333333332</v>
      </c>
      <c r="E21" s="621">
        <v>0</v>
      </c>
      <c r="F21" s="621">
        <v>19.237222222222222</v>
      </c>
      <c r="G21" s="621">
        <v>27.65</v>
      </c>
      <c r="H21" s="621">
        <v>94.811388888888885</v>
      </c>
      <c r="I21" s="619">
        <v>153.45999999999998</v>
      </c>
      <c r="J21" s="244"/>
      <c r="K21" s="70"/>
      <c r="L21" s="70"/>
      <c r="M21" s="70"/>
      <c r="N21" s="70"/>
      <c r="O21" s="70"/>
      <c r="P21" s="70"/>
      <c r="Q21" s="70"/>
      <c r="R21" s="70"/>
      <c r="S21" s="70"/>
    </row>
    <row r="22" spans="1:19" ht="15.95" customHeight="1">
      <c r="A22" s="913">
        <v>1998</v>
      </c>
      <c r="B22" s="914">
        <v>3.2988888888888885</v>
      </c>
      <c r="C22" s="914">
        <v>6.4911111111111115</v>
      </c>
      <c r="D22" s="914">
        <v>1.5536111111111111</v>
      </c>
      <c r="E22" s="914">
        <v>0</v>
      </c>
      <c r="F22" s="914">
        <v>19.140555555555554</v>
      </c>
      <c r="G22" s="914">
        <v>27.646388888888886</v>
      </c>
      <c r="H22" s="914">
        <v>95.634722222222223</v>
      </c>
      <c r="I22" s="915">
        <v>153.76527777777778</v>
      </c>
      <c r="J22" s="244"/>
      <c r="K22" s="70"/>
      <c r="L22" s="70"/>
      <c r="M22" s="70"/>
      <c r="N22" s="70"/>
      <c r="O22" s="70"/>
      <c r="P22" s="70"/>
      <c r="Q22" s="70"/>
      <c r="R22" s="70"/>
      <c r="S22" s="70"/>
    </row>
    <row r="23" spans="1:19" ht="15.95" customHeight="1">
      <c r="A23" s="76">
        <v>1999</v>
      </c>
      <c r="B23" s="621">
        <v>3.3627777777777776</v>
      </c>
      <c r="C23" s="621">
        <v>6.5225</v>
      </c>
      <c r="D23" s="621">
        <v>1.5930555555555554</v>
      </c>
      <c r="E23" s="621">
        <v>0</v>
      </c>
      <c r="F23" s="621">
        <v>18.968888888888888</v>
      </c>
      <c r="G23" s="621">
        <v>27.627500000000001</v>
      </c>
      <c r="H23" s="621">
        <v>92.894444444444431</v>
      </c>
      <c r="I23" s="619">
        <v>150.96916666666664</v>
      </c>
      <c r="J23" s="244"/>
      <c r="K23" s="70"/>
      <c r="L23" s="70"/>
      <c r="M23" s="70"/>
      <c r="N23" s="70"/>
      <c r="O23" s="70"/>
      <c r="P23" s="70"/>
      <c r="Q23" s="70"/>
      <c r="R23" s="70"/>
      <c r="S23" s="70"/>
    </row>
    <row r="24" spans="1:19" ht="15.95" customHeight="1">
      <c r="A24" s="913">
        <v>2000</v>
      </c>
      <c r="B24" s="914">
        <v>3.4333333333333331</v>
      </c>
      <c r="C24" s="914">
        <v>6.3022222222222215</v>
      </c>
      <c r="D24" s="914">
        <v>1.5930555555555554</v>
      </c>
      <c r="E24" s="914">
        <v>0</v>
      </c>
      <c r="F24" s="914">
        <v>18.048611111111111</v>
      </c>
      <c r="G24" s="914">
        <v>28.592500000000001</v>
      </c>
      <c r="H24" s="914">
        <v>90.505277777777778</v>
      </c>
      <c r="I24" s="915">
        <v>148.47499999999999</v>
      </c>
      <c r="J24" s="244"/>
      <c r="K24" s="70"/>
      <c r="L24" s="70"/>
      <c r="M24" s="70"/>
      <c r="N24" s="70"/>
      <c r="O24" s="70"/>
      <c r="P24" s="70"/>
      <c r="Q24" s="70"/>
      <c r="R24" s="70"/>
      <c r="S24" s="70"/>
    </row>
    <row r="25" spans="1:19" ht="15.95" customHeight="1">
      <c r="A25" s="76">
        <v>2001</v>
      </c>
      <c r="B25" s="621">
        <v>3.6397222222222223</v>
      </c>
      <c r="C25" s="621">
        <v>7.3069444444444445</v>
      </c>
      <c r="D25" s="621">
        <v>1.7066666666666666</v>
      </c>
      <c r="E25" s="621">
        <v>0</v>
      </c>
      <c r="F25" s="621">
        <v>18.595277777777778</v>
      </c>
      <c r="G25" s="621">
        <v>29.832222222222221</v>
      </c>
      <c r="H25" s="621">
        <v>93.63388888888889</v>
      </c>
      <c r="I25" s="619">
        <v>154.71472222222224</v>
      </c>
      <c r="J25" s="244"/>
      <c r="K25" s="70"/>
      <c r="L25" s="70"/>
      <c r="M25" s="70"/>
      <c r="N25" s="70"/>
      <c r="O25" s="70"/>
      <c r="P25" s="70"/>
      <c r="Q25" s="70"/>
      <c r="R25" s="70"/>
      <c r="S25" s="70"/>
    </row>
    <row r="26" spans="1:19" ht="15.95" customHeight="1">
      <c r="A26" s="913">
        <v>2002</v>
      </c>
      <c r="B26" s="914">
        <v>3.7755555555555556</v>
      </c>
      <c r="C26" s="914">
        <v>7.6213888888888883</v>
      </c>
      <c r="D26" s="914">
        <v>1.7833333333333332</v>
      </c>
      <c r="E26" s="914">
        <v>0</v>
      </c>
      <c r="F26" s="914">
        <v>18.620277777777776</v>
      </c>
      <c r="G26" s="914">
        <v>29.056944444444444</v>
      </c>
      <c r="H26" s="914">
        <v>92.484722222222217</v>
      </c>
      <c r="I26" s="915">
        <v>153.34222222222223</v>
      </c>
      <c r="J26" s="244"/>
      <c r="K26" s="70"/>
      <c r="L26" s="70"/>
      <c r="M26" s="70"/>
      <c r="N26" s="70"/>
      <c r="O26" s="70"/>
      <c r="P26" s="70"/>
      <c r="Q26" s="70"/>
      <c r="R26" s="70"/>
      <c r="S26" s="70"/>
    </row>
    <row r="27" spans="1:19" ht="15.95" customHeight="1">
      <c r="A27" s="76">
        <v>2003</v>
      </c>
      <c r="B27" s="621">
        <v>2.868611111111111</v>
      </c>
      <c r="C27" s="621">
        <v>8.1666666666666661</v>
      </c>
      <c r="D27" s="621">
        <v>1.8555555555555554</v>
      </c>
      <c r="E27" s="621">
        <v>0</v>
      </c>
      <c r="F27" s="621">
        <v>18.645277777777778</v>
      </c>
      <c r="G27" s="621">
        <v>28.883055555555554</v>
      </c>
      <c r="H27" s="621">
        <v>93.290555555555542</v>
      </c>
      <c r="I27" s="619">
        <v>153.70972222222221</v>
      </c>
      <c r="J27" s="244"/>
      <c r="K27" s="70"/>
      <c r="L27" s="70"/>
      <c r="M27" s="70"/>
      <c r="N27" s="70"/>
      <c r="O27" s="70"/>
      <c r="P27" s="70"/>
      <c r="Q27" s="70"/>
      <c r="R27" s="70"/>
      <c r="S27" s="70"/>
    </row>
    <row r="28" spans="1:19" ht="15.95" customHeight="1">
      <c r="A28" s="913">
        <v>2004</v>
      </c>
      <c r="B28" s="914">
        <v>2.7819444444444446</v>
      </c>
      <c r="C28" s="914">
        <v>7.1830555555555557</v>
      </c>
      <c r="D28" s="914">
        <v>1.8616666666666666</v>
      </c>
      <c r="E28" s="914">
        <v>0</v>
      </c>
      <c r="F28" s="914">
        <v>19.078888888888887</v>
      </c>
      <c r="G28" s="914">
        <v>28.684999999999999</v>
      </c>
      <c r="H28" s="914">
        <v>91.435555555555553</v>
      </c>
      <c r="I28" s="915">
        <v>151.02611111111111</v>
      </c>
      <c r="J28" s="244"/>
      <c r="K28" s="70"/>
      <c r="L28" s="70"/>
      <c r="M28" s="70"/>
      <c r="N28" s="70"/>
      <c r="O28" s="70"/>
      <c r="P28" s="70"/>
      <c r="Q28" s="70"/>
      <c r="R28" s="70"/>
      <c r="S28" s="70"/>
    </row>
    <row r="29" spans="1:19" ht="15.95" customHeight="1">
      <c r="A29" s="76">
        <v>2005</v>
      </c>
      <c r="B29" s="621">
        <v>3.5408333333333331</v>
      </c>
      <c r="C29" s="621">
        <v>7.6211111111111114</v>
      </c>
      <c r="D29" s="621">
        <v>1.6936111111111112</v>
      </c>
      <c r="E29" s="621">
        <v>0.59972222222222216</v>
      </c>
      <c r="F29" s="621">
        <v>19.66611111111111</v>
      </c>
      <c r="G29" s="621">
        <v>26.462499999999999</v>
      </c>
      <c r="H29" s="621">
        <v>88.925277777777779</v>
      </c>
      <c r="I29" s="619">
        <v>148.50916666666666</v>
      </c>
      <c r="J29" s="244"/>
      <c r="K29" s="70"/>
      <c r="L29" s="70"/>
      <c r="M29" s="70"/>
      <c r="N29" s="70"/>
      <c r="O29" s="70"/>
      <c r="P29" s="70"/>
      <c r="Q29" s="70"/>
      <c r="R29" s="70"/>
      <c r="S29" s="70"/>
    </row>
    <row r="30" spans="1:19" ht="15.95" customHeight="1">
      <c r="A30" s="913">
        <v>2006</v>
      </c>
      <c r="B30" s="914">
        <v>3.6988888888888889</v>
      </c>
      <c r="C30" s="914">
        <v>6.8852777777777776</v>
      </c>
      <c r="D30" s="914">
        <v>1.6736111111111112</v>
      </c>
      <c r="E30" s="914">
        <v>0.60166666666666668</v>
      </c>
      <c r="F30" s="914">
        <v>16.562222222222221</v>
      </c>
      <c r="G30" s="914">
        <v>29.09611111111111</v>
      </c>
      <c r="H30" s="914">
        <v>86.290277777777774</v>
      </c>
      <c r="I30" s="915">
        <v>144.80805555555554</v>
      </c>
      <c r="J30" s="244"/>
      <c r="K30" s="70"/>
      <c r="L30" s="70"/>
      <c r="M30" s="70"/>
      <c r="N30" s="70"/>
      <c r="O30" s="70"/>
      <c r="P30" s="70"/>
      <c r="Q30" s="70"/>
      <c r="R30" s="70"/>
      <c r="S30" s="70"/>
    </row>
    <row r="31" spans="1:19" ht="15.95" customHeight="1">
      <c r="A31" s="76">
        <v>2007</v>
      </c>
      <c r="B31" s="621">
        <v>4.3952777777777774</v>
      </c>
      <c r="C31" s="621">
        <v>7.0213888888888887</v>
      </c>
      <c r="D31" s="621">
        <v>2.15</v>
      </c>
      <c r="E31" s="621">
        <v>0.66777777777777769</v>
      </c>
      <c r="F31" s="621">
        <v>18.586388888888887</v>
      </c>
      <c r="G31" s="621">
        <v>27.77611111111111</v>
      </c>
      <c r="H31" s="621">
        <v>83.522222222222226</v>
      </c>
      <c r="I31" s="619">
        <v>144.11916666666667</v>
      </c>
      <c r="J31" s="244"/>
      <c r="K31" s="70"/>
      <c r="L31" s="70"/>
      <c r="M31" s="70"/>
      <c r="N31" s="70"/>
      <c r="O31" s="70"/>
      <c r="P31" s="70"/>
      <c r="Q31" s="70"/>
      <c r="R31" s="70"/>
      <c r="S31" s="70"/>
    </row>
    <row r="32" spans="1:19" ht="15.95" customHeight="1">
      <c r="A32" s="913">
        <v>2008</v>
      </c>
      <c r="B32" s="914">
        <v>4.4411111111111117</v>
      </c>
      <c r="C32" s="914">
        <v>6.423055555555556</v>
      </c>
      <c r="D32" s="914">
        <v>2.3002777777777776</v>
      </c>
      <c r="E32" s="914">
        <v>0.62055555555555553</v>
      </c>
      <c r="F32" s="914">
        <v>16.761666666666667</v>
      </c>
      <c r="G32" s="914">
        <v>27.107500000000002</v>
      </c>
      <c r="H32" s="914">
        <v>83.714444444444439</v>
      </c>
      <c r="I32" s="915">
        <v>141.36861111111111</v>
      </c>
      <c r="J32" s="244"/>
      <c r="K32" s="70"/>
      <c r="L32" s="70"/>
      <c r="M32" s="70"/>
      <c r="N32" s="70"/>
      <c r="O32" s="70"/>
      <c r="P32" s="70"/>
      <c r="Q32" s="70"/>
      <c r="R32" s="70"/>
      <c r="S32" s="70"/>
    </row>
    <row r="33" spans="1:19" ht="15.95" customHeight="1">
      <c r="A33" s="227">
        <v>2009</v>
      </c>
      <c r="B33" s="622">
        <v>4.1322222222222216</v>
      </c>
      <c r="C33" s="622">
        <v>6.2038888888888888</v>
      </c>
      <c r="D33" s="622">
        <v>2.2663888888888888</v>
      </c>
      <c r="E33" s="622">
        <v>0.68305555555555553</v>
      </c>
      <c r="F33" s="622">
        <v>18.076111111111111</v>
      </c>
      <c r="G33" s="622">
        <v>27.859722222222224</v>
      </c>
      <c r="H33" s="622">
        <v>86.231388888888887</v>
      </c>
      <c r="I33" s="620">
        <v>145.45277777777778</v>
      </c>
      <c r="J33" s="244"/>
      <c r="K33" s="70"/>
      <c r="L33" s="70"/>
      <c r="M33" s="70"/>
      <c r="N33" s="70"/>
      <c r="O33" s="70"/>
      <c r="P33" s="70"/>
      <c r="Q33" s="70"/>
      <c r="R33" s="70"/>
      <c r="S33" s="70"/>
    </row>
    <row r="34" spans="1:19" ht="15.95" customHeight="1">
      <c r="A34" s="913">
        <v>2010</v>
      </c>
      <c r="B34" s="914">
        <v>4.306111111111111</v>
      </c>
      <c r="C34" s="914">
        <v>6.6291666666666664</v>
      </c>
      <c r="D34" s="914">
        <v>2.5766666666666667</v>
      </c>
      <c r="E34" s="914">
        <v>0.64888888888888896</v>
      </c>
      <c r="F34" s="914">
        <v>19.136944444444445</v>
      </c>
      <c r="G34" s="914">
        <v>29.458333333333332</v>
      </c>
      <c r="H34" s="914">
        <v>92.665277777777774</v>
      </c>
      <c r="I34" s="915">
        <v>155.42138888888888</v>
      </c>
      <c r="J34" s="244"/>
      <c r="K34" s="70"/>
      <c r="L34" s="70"/>
      <c r="M34" s="70"/>
      <c r="N34" s="70"/>
      <c r="O34" s="70"/>
      <c r="P34" s="70"/>
      <c r="Q34" s="70"/>
      <c r="R34" s="70"/>
      <c r="S34" s="70"/>
    </row>
    <row r="35" spans="1:19" ht="15.95" customHeight="1">
      <c r="A35" s="76">
        <v>2011</v>
      </c>
      <c r="B35" s="621">
        <v>4.286944444444444</v>
      </c>
      <c r="C35" s="621">
        <v>6.3986111111111112</v>
      </c>
      <c r="D35" s="621">
        <v>2.7733333333333334</v>
      </c>
      <c r="E35" s="621">
        <v>0.60722222222222222</v>
      </c>
      <c r="F35" s="621">
        <v>17.032777777777778</v>
      </c>
      <c r="G35" s="621">
        <v>27.213888888888889</v>
      </c>
      <c r="H35" s="621">
        <v>84.6</v>
      </c>
      <c r="I35" s="619">
        <v>142.91277777777776</v>
      </c>
      <c r="J35" s="244"/>
      <c r="K35" s="70"/>
      <c r="L35" s="70"/>
      <c r="M35" s="70"/>
      <c r="N35" s="70"/>
      <c r="O35" s="70"/>
      <c r="P35" s="70"/>
      <c r="Q35" s="70"/>
      <c r="R35" s="70"/>
      <c r="S35" s="70"/>
    </row>
    <row r="36" spans="1:19" ht="15.95" customHeight="1">
      <c r="A36" s="913">
        <v>2012</v>
      </c>
      <c r="B36" s="914">
        <v>4.2769444444444442</v>
      </c>
      <c r="C36" s="914">
        <v>6.440833333333333</v>
      </c>
      <c r="D36" s="914">
        <v>2.5163888888888888</v>
      </c>
      <c r="E36" s="914">
        <v>0.64222222222222214</v>
      </c>
      <c r="F36" s="914">
        <v>16.868333333333332</v>
      </c>
      <c r="G36" s="914">
        <v>27.958888888888886</v>
      </c>
      <c r="H36" s="914">
        <v>87.41</v>
      </c>
      <c r="I36" s="915">
        <v>146.11361111111108</v>
      </c>
      <c r="J36" s="70"/>
      <c r="K36" s="70"/>
      <c r="L36" s="70"/>
      <c r="M36" s="70"/>
      <c r="N36" s="70"/>
      <c r="O36" s="70"/>
      <c r="P36" s="70"/>
      <c r="Q36" s="70"/>
      <c r="R36" s="70"/>
      <c r="S36" s="70"/>
    </row>
    <row r="37" spans="1:19" ht="15.95" customHeight="1">
      <c r="A37" s="76">
        <v>2013</v>
      </c>
      <c r="B37" s="621">
        <v>4.3988888888888891</v>
      </c>
      <c r="C37" s="621">
        <v>6.8238888888888889</v>
      </c>
      <c r="D37" s="621">
        <v>2.5019444444444443</v>
      </c>
      <c r="E37" s="621">
        <v>0.73277777777777775</v>
      </c>
      <c r="F37" s="621">
        <v>16.723333333333333</v>
      </c>
      <c r="G37" s="621">
        <v>29.114999999999998</v>
      </c>
      <c r="H37" s="621">
        <v>86.244166666666672</v>
      </c>
      <c r="I37" s="619">
        <v>146.54000000000002</v>
      </c>
      <c r="J37" s="244"/>
      <c r="K37" s="70"/>
      <c r="L37" s="70"/>
      <c r="M37" s="70"/>
      <c r="N37" s="70"/>
      <c r="O37" s="70"/>
      <c r="P37" s="70"/>
      <c r="Q37" s="70"/>
      <c r="R37" s="70"/>
      <c r="S37" s="70"/>
    </row>
    <row r="38" spans="1:19" ht="15.95" customHeight="1">
      <c r="A38" s="913">
        <v>2014</v>
      </c>
      <c r="B38" s="914">
        <v>4.3769444444444447</v>
      </c>
      <c r="C38" s="914">
        <v>6.652222222222222</v>
      </c>
      <c r="D38" s="914">
        <v>2.5325000000000002</v>
      </c>
      <c r="E38" s="914">
        <v>0.78861111111111104</v>
      </c>
      <c r="F38" s="914">
        <v>15.594444444444443</v>
      </c>
      <c r="G38" s="914">
        <v>28.194444444444446</v>
      </c>
      <c r="H38" s="914">
        <v>82.143333333333331</v>
      </c>
      <c r="I38" s="915">
        <v>140.2825</v>
      </c>
      <c r="J38" s="70"/>
      <c r="K38" s="70"/>
      <c r="L38" s="70"/>
      <c r="M38" s="70"/>
      <c r="N38" s="70"/>
      <c r="O38" s="70"/>
      <c r="P38" s="70"/>
      <c r="Q38" s="70"/>
      <c r="R38" s="70"/>
      <c r="S38" s="70"/>
    </row>
    <row r="39" spans="1:19" ht="15.95" customHeight="1">
      <c r="A39" s="76">
        <v>2015</v>
      </c>
      <c r="B39" s="621">
        <v>4.6402777777777775</v>
      </c>
      <c r="C39" s="621">
        <v>6.6477777777777778</v>
      </c>
      <c r="D39" s="621">
        <v>2.6463888888888887</v>
      </c>
      <c r="E39" s="621">
        <v>0.54722222222222217</v>
      </c>
      <c r="F39" s="621">
        <v>15.800277777777778</v>
      </c>
      <c r="G39" s="621">
        <v>28.594999999999999</v>
      </c>
      <c r="H39" s="621">
        <v>83.838611111111106</v>
      </c>
      <c r="I39" s="619">
        <v>142.71555555555557</v>
      </c>
      <c r="J39" s="244"/>
      <c r="K39" s="70"/>
      <c r="L39" s="70"/>
      <c r="M39" s="70"/>
      <c r="N39" s="70"/>
      <c r="O39" s="70"/>
      <c r="P39" s="70"/>
      <c r="Q39" s="70"/>
      <c r="R39" s="70"/>
      <c r="S39" s="70"/>
    </row>
    <row r="40" spans="1:19" ht="15.95" customHeight="1">
      <c r="B40" s="70"/>
      <c r="C40" s="70"/>
      <c r="D40" s="70"/>
      <c r="E40" s="70"/>
      <c r="F40" s="70"/>
      <c r="G40" s="70"/>
      <c r="H40" s="70"/>
      <c r="I40" s="70"/>
      <c r="J40" s="70"/>
      <c r="K40" s="70"/>
      <c r="L40" s="70"/>
      <c r="M40" s="70"/>
      <c r="N40" s="70"/>
      <c r="O40" s="70"/>
      <c r="P40" s="70"/>
      <c r="Q40" s="70"/>
      <c r="R40" s="70"/>
      <c r="S40" s="70"/>
    </row>
    <row r="41" spans="1:19" ht="13.15">
      <c r="A41" s="56" t="s">
        <v>27</v>
      </c>
      <c r="B41" s="70"/>
      <c r="C41" s="70"/>
      <c r="D41" s="70"/>
      <c r="E41" s="70"/>
      <c r="F41" s="70"/>
      <c r="G41" s="70"/>
      <c r="H41" s="70"/>
      <c r="I41" s="70"/>
      <c r="J41" s="70"/>
      <c r="K41" s="70"/>
      <c r="L41" s="70"/>
      <c r="M41" s="70"/>
      <c r="N41" s="70"/>
      <c r="O41" s="70"/>
      <c r="P41" s="70"/>
      <c r="Q41" s="70"/>
      <c r="R41" s="70"/>
      <c r="S41" s="70"/>
    </row>
    <row r="42" spans="1:19" ht="13.15">
      <c r="A42" s="70" t="s">
        <v>482</v>
      </c>
      <c r="B42" s="70"/>
      <c r="C42" s="70"/>
      <c r="D42" s="70"/>
      <c r="E42" s="70"/>
      <c r="F42" s="70"/>
      <c r="G42" s="70"/>
      <c r="H42" s="70"/>
      <c r="I42" s="70"/>
      <c r="J42" s="70"/>
      <c r="K42" s="70"/>
      <c r="L42" s="70"/>
      <c r="M42" s="70"/>
      <c r="N42" s="70"/>
      <c r="O42" s="70"/>
      <c r="P42" s="70"/>
      <c r="Q42" s="70"/>
      <c r="R42" s="70"/>
      <c r="S42" s="70"/>
    </row>
    <row r="43" spans="1:19" ht="13.15">
      <c r="A43" s="448" t="s">
        <v>534</v>
      </c>
      <c r="B43" s="70"/>
      <c r="C43" s="70"/>
      <c r="D43" s="450"/>
      <c r="E43" s="70"/>
      <c r="F43" s="450"/>
      <c r="G43" s="450"/>
      <c r="H43" s="450"/>
      <c r="I43" s="70"/>
      <c r="J43" s="70"/>
      <c r="K43" s="70"/>
      <c r="L43" s="70"/>
      <c r="M43" s="70"/>
      <c r="N43" s="70"/>
      <c r="O43" s="70"/>
      <c r="P43" s="70"/>
      <c r="Q43" s="70"/>
      <c r="R43" s="70"/>
      <c r="S43" s="70"/>
    </row>
    <row r="44" spans="1:19" ht="13.15">
      <c r="A44" s="70"/>
      <c r="B44" s="70"/>
      <c r="C44" s="70"/>
      <c r="D44" s="70"/>
      <c r="E44" s="70"/>
      <c r="F44" s="70"/>
      <c r="G44" s="70"/>
      <c r="H44" s="70"/>
      <c r="I44" s="70"/>
      <c r="J44" s="70"/>
      <c r="K44" s="70"/>
      <c r="L44" s="70"/>
      <c r="M44" s="70"/>
      <c r="N44" s="70"/>
      <c r="O44" s="70"/>
      <c r="P44" s="70"/>
      <c r="Q44" s="70"/>
      <c r="R44" s="70"/>
      <c r="S44" s="70"/>
    </row>
    <row r="45" spans="1:19" ht="13.15">
      <c r="A45" s="70"/>
      <c r="B45" s="70"/>
      <c r="C45" s="70"/>
      <c r="D45" s="70"/>
      <c r="E45" s="70"/>
      <c r="F45" s="70"/>
      <c r="G45" s="70"/>
      <c r="H45" s="70"/>
      <c r="I45" s="70"/>
      <c r="J45" s="70"/>
      <c r="K45" s="70"/>
      <c r="L45" s="70"/>
      <c r="M45" s="70"/>
      <c r="N45" s="70"/>
      <c r="O45" s="70"/>
      <c r="P45" s="70"/>
      <c r="Q45" s="70"/>
      <c r="R45" s="70"/>
      <c r="S45" s="70"/>
    </row>
    <row r="46" spans="1:19" ht="13.15">
      <c r="A46" s="70"/>
      <c r="B46" s="70"/>
      <c r="C46" s="70"/>
      <c r="D46" s="70"/>
      <c r="E46" s="70"/>
      <c r="F46" s="70"/>
      <c r="G46" s="70"/>
      <c r="H46" s="70"/>
      <c r="I46" s="70"/>
      <c r="J46" s="70"/>
      <c r="K46" s="70"/>
      <c r="L46" s="70"/>
      <c r="M46" s="70"/>
      <c r="N46" s="70"/>
      <c r="O46" s="70"/>
      <c r="P46" s="70"/>
      <c r="Q46" s="70"/>
      <c r="R46" s="70"/>
      <c r="S46" s="70"/>
    </row>
    <row r="47" spans="1:19" ht="13.15">
      <c r="A47" s="70"/>
      <c r="B47" s="70"/>
      <c r="C47" s="70"/>
      <c r="D47" s="70"/>
      <c r="E47" s="70"/>
      <c r="F47" s="70"/>
      <c r="G47" s="70"/>
      <c r="H47" s="70"/>
      <c r="I47" s="70"/>
      <c r="J47" s="70"/>
      <c r="K47" s="70"/>
      <c r="L47" s="70"/>
      <c r="M47" s="70"/>
      <c r="N47" s="70"/>
      <c r="O47" s="70"/>
      <c r="P47" s="70"/>
      <c r="Q47" s="70"/>
      <c r="R47" s="70"/>
      <c r="S47" s="70"/>
    </row>
    <row r="48" spans="1:19" ht="13.15">
      <c r="A48" s="70"/>
      <c r="B48" s="70"/>
      <c r="C48" s="70"/>
      <c r="D48" s="70"/>
      <c r="E48" s="70"/>
      <c r="F48" s="70"/>
      <c r="G48" s="70"/>
      <c r="H48" s="70"/>
      <c r="I48" s="70"/>
      <c r="J48" s="70"/>
      <c r="K48" s="70"/>
      <c r="L48" s="70"/>
      <c r="M48" s="70"/>
      <c r="N48" s="70"/>
      <c r="O48" s="70"/>
      <c r="P48" s="70"/>
      <c r="Q48" s="70"/>
      <c r="R48" s="70"/>
      <c r="S48" s="70"/>
    </row>
    <row r="49" spans="1:19" ht="13.15">
      <c r="A49" s="70"/>
      <c r="B49" s="70"/>
      <c r="C49" s="70"/>
      <c r="D49" s="70"/>
      <c r="E49" s="70"/>
      <c r="F49" s="70"/>
      <c r="G49" s="70"/>
      <c r="H49" s="70"/>
      <c r="I49" s="70"/>
      <c r="J49" s="70"/>
      <c r="K49" s="70"/>
      <c r="L49" s="70"/>
      <c r="M49" s="70"/>
      <c r="N49" s="70"/>
      <c r="O49" s="70"/>
      <c r="P49" s="70"/>
      <c r="Q49" s="70"/>
      <c r="R49" s="70"/>
      <c r="S49" s="70"/>
    </row>
    <row r="50" spans="1:19" ht="13.15">
      <c r="A50" s="70"/>
      <c r="B50" s="70"/>
      <c r="C50" s="70"/>
      <c r="D50" s="70"/>
      <c r="E50" s="70"/>
      <c r="F50" s="70"/>
      <c r="G50" s="70"/>
      <c r="H50" s="70"/>
      <c r="I50" s="70"/>
      <c r="J50" s="70"/>
      <c r="K50" s="70"/>
      <c r="L50" s="70"/>
      <c r="M50" s="70"/>
      <c r="N50" s="70"/>
      <c r="O50" s="70"/>
      <c r="P50" s="70"/>
      <c r="Q50" s="70"/>
      <c r="R50" s="70"/>
      <c r="S50" s="70"/>
    </row>
    <row r="51" spans="1:19" ht="13.15">
      <c r="A51" s="70"/>
      <c r="B51" s="70"/>
      <c r="C51" s="70"/>
      <c r="D51" s="70"/>
      <c r="E51" s="70"/>
      <c r="F51" s="70"/>
      <c r="G51" s="70"/>
      <c r="H51" s="70"/>
      <c r="I51" s="70"/>
      <c r="J51" s="70"/>
      <c r="K51" s="70"/>
      <c r="L51" s="70"/>
      <c r="M51" s="70"/>
      <c r="N51" s="70"/>
      <c r="O51" s="70"/>
      <c r="P51" s="70"/>
      <c r="Q51" s="70"/>
      <c r="R51" s="70"/>
      <c r="S51" s="70"/>
    </row>
    <row r="52" spans="1:19" ht="13.15">
      <c r="A52" s="70"/>
      <c r="B52" s="70"/>
      <c r="C52" s="70"/>
      <c r="D52" s="70"/>
      <c r="E52" s="70"/>
      <c r="F52" s="70"/>
      <c r="G52" s="70"/>
      <c r="H52" s="70"/>
      <c r="I52" s="70"/>
      <c r="J52" s="70"/>
      <c r="K52" s="70"/>
      <c r="L52" s="70"/>
      <c r="M52" s="70"/>
      <c r="N52" s="70"/>
      <c r="O52" s="70"/>
      <c r="P52" s="70"/>
      <c r="Q52" s="70"/>
      <c r="R52" s="70"/>
      <c r="S52" s="70"/>
    </row>
    <row r="53" spans="1:19" ht="13.15">
      <c r="A53" s="70"/>
      <c r="B53" s="70"/>
      <c r="C53" s="70"/>
      <c r="D53" s="70"/>
      <c r="E53" s="70"/>
      <c r="F53" s="70"/>
      <c r="G53" s="70"/>
      <c r="H53" s="70"/>
      <c r="I53" s="70"/>
      <c r="J53" s="70"/>
      <c r="K53" s="70"/>
      <c r="L53" s="70"/>
      <c r="M53" s="70"/>
      <c r="N53" s="70"/>
      <c r="O53" s="70"/>
      <c r="P53" s="70"/>
      <c r="Q53" s="70"/>
      <c r="R53" s="70"/>
      <c r="S53" s="70"/>
    </row>
    <row r="54" spans="1:19" ht="13.15">
      <c r="A54" s="70"/>
      <c r="B54" s="70"/>
      <c r="C54" s="70"/>
      <c r="D54" s="70"/>
      <c r="E54" s="70"/>
      <c r="F54" s="70"/>
      <c r="G54" s="70"/>
      <c r="H54" s="70"/>
      <c r="I54" s="70"/>
      <c r="J54" s="70"/>
      <c r="K54" s="70"/>
      <c r="L54" s="70"/>
      <c r="M54" s="70"/>
      <c r="N54" s="70"/>
      <c r="O54" s="70"/>
      <c r="P54" s="70"/>
      <c r="Q54" s="70"/>
      <c r="R54" s="70"/>
      <c r="S54" s="70"/>
    </row>
    <row r="55" spans="1:19" ht="13.15">
      <c r="A55" s="70"/>
      <c r="B55" s="70"/>
      <c r="C55" s="70"/>
      <c r="D55" s="70"/>
      <c r="E55" s="70"/>
      <c r="F55" s="70"/>
      <c r="G55" s="70"/>
      <c r="H55" s="70"/>
      <c r="I55" s="70"/>
      <c r="J55" s="70"/>
      <c r="K55" s="70"/>
      <c r="L55" s="70"/>
      <c r="M55" s="70"/>
      <c r="N55" s="70"/>
      <c r="O55" s="70"/>
      <c r="P55" s="70"/>
      <c r="Q55" s="70"/>
      <c r="R55" s="70"/>
      <c r="S55" s="70"/>
    </row>
    <row r="56" spans="1:19" ht="13.15">
      <c r="A56" s="70"/>
      <c r="B56" s="70"/>
      <c r="C56" s="70"/>
      <c r="D56" s="70"/>
      <c r="E56" s="70"/>
      <c r="F56" s="70"/>
      <c r="G56" s="70"/>
      <c r="H56" s="70"/>
      <c r="I56" s="70"/>
      <c r="J56" s="70"/>
      <c r="K56" s="70"/>
      <c r="L56" s="70"/>
      <c r="M56" s="70"/>
      <c r="N56" s="70"/>
      <c r="O56" s="70"/>
      <c r="P56" s="70"/>
      <c r="Q56" s="70"/>
      <c r="R56" s="70"/>
      <c r="S56" s="70"/>
    </row>
    <row r="57" spans="1:19" ht="13.15">
      <c r="A57" s="70"/>
      <c r="B57" s="70"/>
      <c r="C57" s="70"/>
      <c r="D57" s="70"/>
      <c r="E57" s="70"/>
      <c r="F57" s="70"/>
      <c r="G57" s="70"/>
      <c r="H57" s="70"/>
      <c r="I57" s="70"/>
      <c r="J57" s="70"/>
      <c r="K57" s="70"/>
      <c r="L57" s="70"/>
      <c r="M57" s="70"/>
      <c r="N57" s="70"/>
      <c r="O57" s="70"/>
      <c r="P57" s="70"/>
      <c r="Q57" s="70"/>
      <c r="R57" s="70"/>
      <c r="S57" s="70"/>
    </row>
    <row r="58" spans="1:19" ht="13.15">
      <c r="A58" s="70"/>
      <c r="B58" s="70"/>
      <c r="C58" s="70"/>
      <c r="D58" s="70"/>
      <c r="E58" s="70"/>
      <c r="F58" s="70"/>
      <c r="G58" s="70"/>
      <c r="H58" s="70"/>
      <c r="I58" s="70"/>
      <c r="J58" s="70"/>
      <c r="K58" s="70"/>
      <c r="L58" s="70"/>
      <c r="M58" s="70"/>
      <c r="N58" s="70"/>
      <c r="O58" s="70"/>
      <c r="P58" s="70"/>
      <c r="Q58" s="70"/>
      <c r="R58" s="70"/>
      <c r="S58" s="70"/>
    </row>
    <row r="59" spans="1:19" ht="13.15">
      <c r="A59" s="70"/>
      <c r="B59" s="70"/>
      <c r="C59" s="70"/>
      <c r="D59" s="70"/>
      <c r="E59" s="70"/>
      <c r="F59" s="70"/>
      <c r="G59" s="70"/>
      <c r="H59" s="70"/>
      <c r="I59" s="70"/>
      <c r="J59" s="70"/>
      <c r="K59" s="70"/>
      <c r="L59" s="70"/>
      <c r="M59" s="70"/>
      <c r="N59" s="70"/>
      <c r="O59" s="70"/>
      <c r="P59" s="70"/>
      <c r="Q59" s="70"/>
      <c r="R59" s="70"/>
      <c r="S59" s="70"/>
    </row>
    <row r="60" spans="1:19" ht="13.15">
      <c r="A60" s="70"/>
      <c r="B60" s="70"/>
      <c r="C60" s="70"/>
      <c r="D60" s="70"/>
      <c r="E60" s="70"/>
      <c r="F60" s="70"/>
      <c r="G60" s="70"/>
      <c r="H60" s="70"/>
      <c r="I60" s="70"/>
      <c r="J60" s="70"/>
      <c r="K60" s="70"/>
      <c r="L60" s="70"/>
      <c r="M60" s="70"/>
      <c r="N60" s="70"/>
      <c r="O60" s="70"/>
      <c r="P60" s="70"/>
      <c r="Q60" s="70"/>
      <c r="R60" s="70"/>
      <c r="S60" s="70"/>
    </row>
    <row r="61" spans="1:19" ht="13.15">
      <c r="A61" s="70"/>
      <c r="B61" s="70"/>
      <c r="C61" s="70"/>
      <c r="D61" s="70"/>
      <c r="E61" s="70"/>
      <c r="F61" s="70"/>
      <c r="G61" s="70"/>
      <c r="H61" s="70"/>
      <c r="I61" s="70"/>
      <c r="J61" s="70"/>
      <c r="K61" s="70"/>
      <c r="L61" s="70"/>
      <c r="M61" s="70"/>
      <c r="N61" s="70"/>
      <c r="O61" s="70"/>
      <c r="P61" s="70"/>
      <c r="Q61" s="70"/>
      <c r="R61" s="70"/>
      <c r="S61" s="70"/>
    </row>
    <row r="62" spans="1:19" ht="13.15">
      <c r="A62" s="70"/>
      <c r="B62" s="70"/>
      <c r="C62" s="70"/>
      <c r="D62" s="70"/>
      <c r="E62" s="70"/>
      <c r="F62" s="70"/>
      <c r="G62" s="70"/>
      <c r="H62" s="70"/>
      <c r="I62" s="70"/>
      <c r="J62" s="70"/>
      <c r="K62" s="70"/>
      <c r="L62" s="70"/>
      <c r="M62" s="70"/>
      <c r="N62" s="70"/>
      <c r="O62" s="70"/>
      <c r="P62" s="70"/>
      <c r="Q62" s="70"/>
      <c r="R62" s="70"/>
      <c r="S62" s="7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6" tint="0.39997558519241921"/>
  </sheetPr>
  <dimension ref="A1:S99"/>
  <sheetViews>
    <sheetView zoomScaleNormal="100" workbookViewId="0">
      <pane ySplit="6" topLeftCell="A7" activePane="bottomLeft" state="frozen"/>
      <selection pane="bottomLeft" activeCell="C1" sqref="C1"/>
    </sheetView>
  </sheetViews>
  <sheetFormatPr defaultColWidth="8" defaultRowHeight="11.65"/>
  <cols>
    <col min="1" max="1" width="7.86328125" style="61" customWidth="1"/>
    <col min="2" max="3" width="16.59765625" style="61" customWidth="1"/>
    <col min="4" max="4" width="15.86328125" style="61" customWidth="1"/>
    <col min="5" max="5" width="15.265625" style="61" customWidth="1"/>
    <col min="6" max="16384" width="8" style="61"/>
  </cols>
  <sheetData>
    <row r="1" spans="1:13" ht="15.95" customHeight="1">
      <c r="A1" s="524" t="str">
        <f>IF(språk=lista[[#Headers],[Svenska]],"Innehåll",IF(språk=lista[[#Headers],[English]],"Contents","FEL"))</f>
        <v>Contents</v>
      </c>
    </row>
    <row r="2" spans="1:13" ht="15.95" customHeight="1"/>
    <row r="3" spans="1:13" ht="15.95" customHeight="1">
      <c r="A3" s="406" t="str">
        <f>IFERROR(INDEX(lista[],MATCH($A5,lista[ID],0),MATCH(språk,lista[#Headers],0)),"")</f>
        <v>Electricity use in the residential and services sector, from 1970, TWh</v>
      </c>
      <c r="B3" s="406"/>
      <c r="C3" s="406"/>
      <c r="D3" s="406"/>
      <c r="E3" s="406"/>
      <c r="F3" s="60"/>
      <c r="G3" s="60"/>
      <c r="H3" s="60"/>
      <c r="I3" s="60"/>
      <c r="J3" s="60"/>
      <c r="K3" s="60"/>
      <c r="L3" s="60"/>
      <c r="M3" s="60"/>
    </row>
    <row r="4" spans="1:13" s="627" customFormat="1" ht="15.95" customHeight="1">
      <c r="F4" s="628"/>
      <c r="G4" s="628"/>
      <c r="H4" s="628"/>
      <c r="I4" s="628"/>
      <c r="J4" s="629"/>
      <c r="K4" s="629"/>
      <c r="L4" s="629"/>
      <c r="M4" s="629"/>
    </row>
    <row r="5" spans="1:13" ht="15.95" hidden="1" customHeight="1">
      <c r="A5" s="64">
        <v>16</v>
      </c>
      <c r="B5" s="64" t="s">
        <v>647</v>
      </c>
      <c r="C5" s="64" t="s">
        <v>648</v>
      </c>
      <c r="D5" s="64" t="s">
        <v>649</v>
      </c>
      <c r="E5" s="64"/>
      <c r="F5" s="62"/>
      <c r="G5" s="62"/>
      <c r="H5" s="62"/>
      <c r="I5" s="62"/>
      <c r="J5" s="63"/>
      <c r="K5" s="63"/>
      <c r="L5" s="63"/>
      <c r="M5" s="63"/>
    </row>
    <row r="6" spans="1:13" ht="30.75" customHeight="1">
      <c r="A6" s="65"/>
      <c r="B6" s="617" t="str">
        <f>IFERROR(INDEX(_3.3[],MATCH(språk,_3.3[[id]:[id]],0),MATCH(B$5,_3.3[#Headers],0)),"")</f>
        <v>Electric heating</v>
      </c>
      <c r="C6" s="617" t="str">
        <f>IFERROR(INDEX(_3.3[],MATCH(språk,_3.3[[id]:[id]],0),MATCH(C$5,_3.3[#Headers],0)),"")</f>
        <v>Domestic electricity</v>
      </c>
      <c r="D6" s="617" t="str">
        <f>IFERROR(INDEX(_3.3[],MATCH(språk,_3.3[[id]:[id]],0),MATCH(D$5,_3.3[#Headers],0)),"")</f>
        <v>Business electricity</v>
      </c>
      <c r="E6" s="66" t="str">
        <f>IF(språk=lista[[#Headers],[Svenska]],"Totalt",IF(språk=lista[[#Headers],[English]],"Total","FEL"))</f>
        <v>Total</v>
      </c>
      <c r="F6" s="60"/>
      <c r="G6" s="60"/>
      <c r="H6" s="60"/>
      <c r="I6" s="60"/>
      <c r="J6" s="60"/>
      <c r="K6" s="60"/>
      <c r="L6" s="60"/>
      <c r="M6" s="60"/>
    </row>
    <row r="7" spans="1:13" ht="15.95" customHeight="1">
      <c r="A7" s="910">
        <v>1970</v>
      </c>
      <c r="B7" s="911">
        <v>4.2999999999999989</v>
      </c>
      <c r="C7" s="911">
        <v>9.1999999999999993</v>
      </c>
      <c r="D7" s="911">
        <v>8.4</v>
      </c>
      <c r="E7" s="912">
        <v>21.9</v>
      </c>
      <c r="F7" s="60"/>
      <c r="G7" s="60"/>
      <c r="H7" s="60"/>
      <c r="I7" s="60"/>
      <c r="J7" s="60"/>
      <c r="K7" s="60"/>
      <c r="L7" s="60"/>
      <c r="M7" s="60"/>
    </row>
    <row r="8" spans="1:13" ht="15.95" customHeight="1">
      <c r="A8" s="67">
        <v>1971</v>
      </c>
      <c r="B8" s="68">
        <v>5</v>
      </c>
      <c r="C8" s="68">
        <v>9.8000000000000007</v>
      </c>
      <c r="D8" s="68">
        <v>9.5</v>
      </c>
      <c r="E8" s="69">
        <v>24.3</v>
      </c>
      <c r="F8" s="60"/>
      <c r="G8" s="60"/>
      <c r="H8" s="60"/>
      <c r="I8" s="60"/>
      <c r="J8" s="60"/>
      <c r="K8" s="60"/>
      <c r="L8" s="60"/>
      <c r="M8" s="60"/>
    </row>
    <row r="9" spans="1:13" ht="15.95" customHeight="1">
      <c r="A9" s="910">
        <v>1972</v>
      </c>
      <c r="B9" s="911">
        <v>5.8000000000000007</v>
      </c>
      <c r="C9" s="911">
        <v>10.6</v>
      </c>
      <c r="D9" s="911">
        <v>10.3</v>
      </c>
      <c r="E9" s="912">
        <v>26.7</v>
      </c>
      <c r="F9" s="60"/>
      <c r="G9" s="60"/>
      <c r="H9" s="60"/>
      <c r="I9" s="60"/>
      <c r="J9" s="60"/>
      <c r="K9" s="60"/>
      <c r="L9" s="60"/>
      <c r="M9" s="60"/>
    </row>
    <row r="10" spans="1:13" ht="15.95" customHeight="1">
      <c r="A10" s="67">
        <v>1973</v>
      </c>
      <c r="B10" s="68">
        <v>6.4999999999999964</v>
      </c>
      <c r="C10" s="68">
        <v>11.1</v>
      </c>
      <c r="D10" s="68">
        <v>10.8</v>
      </c>
      <c r="E10" s="69">
        <v>28.399999999999995</v>
      </c>
      <c r="F10" s="60"/>
      <c r="G10" s="60"/>
      <c r="H10" s="60"/>
      <c r="I10" s="60"/>
      <c r="J10" s="60"/>
      <c r="K10" s="60"/>
      <c r="L10" s="60"/>
      <c r="M10" s="60"/>
    </row>
    <row r="11" spans="1:13" ht="15.95" customHeight="1">
      <c r="A11" s="910">
        <v>1974</v>
      </c>
      <c r="B11" s="911">
        <v>7.2999999999999989</v>
      </c>
      <c r="C11" s="911">
        <v>10.5</v>
      </c>
      <c r="D11" s="911">
        <v>10.4</v>
      </c>
      <c r="E11" s="912">
        <v>28.199999999999996</v>
      </c>
      <c r="F11" s="60"/>
      <c r="G11" s="60"/>
      <c r="H11" s="60"/>
      <c r="I11" s="60"/>
      <c r="J11" s="60"/>
      <c r="K11" s="60"/>
      <c r="L11" s="60"/>
      <c r="M11" s="60"/>
    </row>
    <row r="12" spans="1:13" ht="15.95" customHeight="1">
      <c r="A12" s="67">
        <v>1975</v>
      </c>
      <c r="B12" s="68">
        <v>8.5</v>
      </c>
      <c r="C12" s="68">
        <v>11.5</v>
      </c>
      <c r="D12" s="68">
        <v>11.7</v>
      </c>
      <c r="E12" s="69">
        <v>31.7</v>
      </c>
      <c r="F12" s="60"/>
      <c r="G12" s="60"/>
      <c r="H12" s="60"/>
      <c r="I12" s="60"/>
      <c r="J12" s="60"/>
      <c r="K12" s="60"/>
      <c r="L12" s="60"/>
      <c r="M12" s="60"/>
    </row>
    <row r="13" spans="1:13" ht="15.95" customHeight="1">
      <c r="A13" s="910">
        <v>1976</v>
      </c>
      <c r="B13" s="911">
        <v>10.799999999999997</v>
      </c>
      <c r="C13" s="911">
        <v>12.3</v>
      </c>
      <c r="D13" s="911">
        <v>12.8</v>
      </c>
      <c r="E13" s="912">
        <v>35.9</v>
      </c>
      <c r="F13" s="60"/>
      <c r="G13" s="60"/>
      <c r="H13" s="60"/>
      <c r="I13" s="60"/>
      <c r="J13" s="60"/>
      <c r="K13" s="60"/>
      <c r="L13" s="60"/>
      <c r="M13" s="60"/>
    </row>
    <row r="14" spans="1:13" ht="15.95" customHeight="1">
      <c r="A14" s="67">
        <v>1977</v>
      </c>
      <c r="B14" s="68">
        <v>12.1</v>
      </c>
      <c r="C14" s="68">
        <v>12.6</v>
      </c>
      <c r="D14" s="68">
        <v>13.4</v>
      </c>
      <c r="E14" s="69">
        <v>38.1</v>
      </c>
      <c r="F14" s="60"/>
      <c r="G14" s="60"/>
      <c r="H14" s="60"/>
      <c r="I14" s="60"/>
      <c r="J14" s="60"/>
      <c r="K14" s="60"/>
      <c r="L14" s="60"/>
      <c r="M14" s="60"/>
    </row>
    <row r="15" spans="1:13" ht="15.95" customHeight="1">
      <c r="A15" s="910">
        <v>1978</v>
      </c>
      <c r="B15" s="911">
        <v>13.100000000000003</v>
      </c>
      <c r="C15" s="911">
        <v>12.9</v>
      </c>
      <c r="D15" s="911">
        <v>14.1</v>
      </c>
      <c r="E15" s="912">
        <v>40.1</v>
      </c>
      <c r="F15" s="60"/>
      <c r="G15" s="60"/>
      <c r="H15" s="60"/>
      <c r="I15" s="60"/>
      <c r="J15" s="60"/>
      <c r="K15" s="60"/>
      <c r="L15" s="60"/>
      <c r="M15" s="60"/>
    </row>
    <row r="16" spans="1:13" ht="15.95" customHeight="1">
      <c r="A16" s="67">
        <v>1979</v>
      </c>
      <c r="B16" s="68">
        <v>14.3</v>
      </c>
      <c r="C16" s="68">
        <v>13.5</v>
      </c>
      <c r="D16" s="68">
        <v>14.7</v>
      </c>
      <c r="E16" s="69">
        <v>42.5</v>
      </c>
      <c r="F16" s="60"/>
      <c r="G16" s="60"/>
      <c r="H16" s="60"/>
      <c r="I16" s="60"/>
      <c r="J16" s="60"/>
      <c r="K16" s="60"/>
      <c r="L16" s="60"/>
      <c r="M16" s="60"/>
    </row>
    <row r="17" spans="1:13" ht="15.95" customHeight="1">
      <c r="A17" s="910">
        <v>1980</v>
      </c>
      <c r="B17" s="911">
        <v>14.499999999999998</v>
      </c>
      <c r="C17" s="911">
        <v>13.6</v>
      </c>
      <c r="D17" s="911">
        <v>14.9</v>
      </c>
      <c r="E17" s="912">
        <v>43</v>
      </c>
      <c r="F17" s="60"/>
      <c r="G17" s="60"/>
      <c r="H17" s="60"/>
      <c r="I17" s="60"/>
      <c r="J17" s="60"/>
      <c r="K17" s="60"/>
      <c r="L17" s="60"/>
      <c r="M17" s="60"/>
    </row>
    <row r="18" spans="1:13" ht="15.95" customHeight="1">
      <c r="A18" s="67">
        <v>1981</v>
      </c>
      <c r="B18" s="68">
        <v>14.799999999999997</v>
      </c>
      <c r="C18" s="68">
        <v>13.5</v>
      </c>
      <c r="D18" s="68">
        <v>16.5</v>
      </c>
      <c r="E18" s="69">
        <v>44.8</v>
      </c>
      <c r="F18" s="60"/>
      <c r="G18" s="60"/>
      <c r="H18" s="60"/>
      <c r="I18" s="60"/>
      <c r="J18" s="60"/>
      <c r="K18" s="60"/>
      <c r="L18" s="60"/>
      <c r="M18" s="60"/>
    </row>
    <row r="19" spans="1:13" ht="15.95" customHeight="1">
      <c r="A19" s="910">
        <v>1982</v>
      </c>
      <c r="B19" s="911">
        <v>16.899999999999999</v>
      </c>
      <c r="C19" s="911">
        <v>13.7</v>
      </c>
      <c r="D19" s="911">
        <v>17.600000000000001</v>
      </c>
      <c r="E19" s="912">
        <v>48.2</v>
      </c>
      <c r="F19" s="60"/>
      <c r="G19" s="60"/>
      <c r="H19" s="60"/>
      <c r="I19" s="60"/>
      <c r="J19" s="60"/>
      <c r="K19" s="60"/>
      <c r="L19" s="60"/>
      <c r="M19" s="60"/>
    </row>
    <row r="20" spans="1:13" ht="15.95" customHeight="1">
      <c r="A20" s="67">
        <v>1983</v>
      </c>
      <c r="B20" s="68">
        <v>19.299999999999994</v>
      </c>
      <c r="C20" s="68">
        <v>13.61281</v>
      </c>
      <c r="D20" s="68">
        <v>18.31802333333334</v>
      </c>
      <c r="E20" s="69">
        <v>51.230833333333337</v>
      </c>
      <c r="F20" s="60"/>
      <c r="G20" s="60"/>
      <c r="H20" s="60"/>
      <c r="I20" s="60"/>
      <c r="J20" s="60"/>
      <c r="K20" s="60"/>
      <c r="L20" s="60"/>
      <c r="M20" s="60"/>
    </row>
    <row r="21" spans="1:13" ht="15.95" customHeight="1">
      <c r="A21" s="910">
        <v>1984</v>
      </c>
      <c r="B21" s="911">
        <v>22</v>
      </c>
      <c r="C21" s="911">
        <v>14.331900000000001</v>
      </c>
      <c r="D21" s="911">
        <v>18.088099999999997</v>
      </c>
      <c r="E21" s="912">
        <v>54.42</v>
      </c>
      <c r="F21" s="60"/>
      <c r="G21" s="60"/>
      <c r="H21" s="60"/>
      <c r="I21" s="60"/>
      <c r="J21" s="60"/>
      <c r="K21" s="60"/>
      <c r="L21" s="60"/>
      <c r="M21" s="60"/>
    </row>
    <row r="22" spans="1:13" ht="15.95" customHeight="1">
      <c r="A22" s="67">
        <v>1985</v>
      </c>
      <c r="B22" s="68">
        <v>25.500000000000004</v>
      </c>
      <c r="C22" s="68">
        <v>14.992340000000002</v>
      </c>
      <c r="D22" s="68">
        <v>22.438771111111105</v>
      </c>
      <c r="E22" s="69">
        <v>62.931111111111107</v>
      </c>
      <c r="F22" s="60"/>
      <c r="G22" s="60"/>
      <c r="H22" s="60"/>
      <c r="I22" s="60"/>
      <c r="J22" s="60"/>
      <c r="K22" s="60"/>
      <c r="L22" s="60"/>
      <c r="M22" s="60"/>
    </row>
    <row r="23" spans="1:13" ht="15.95" customHeight="1">
      <c r="A23" s="910">
        <v>1986</v>
      </c>
      <c r="B23" s="911">
        <v>26.299999999999997</v>
      </c>
      <c r="C23" s="911">
        <v>15.8498</v>
      </c>
      <c r="D23" s="911">
        <v>21.368255555555564</v>
      </c>
      <c r="E23" s="912">
        <v>63.518055555555563</v>
      </c>
      <c r="F23" s="60"/>
      <c r="G23" s="60"/>
      <c r="H23" s="60"/>
      <c r="I23" s="60"/>
      <c r="J23" s="60"/>
      <c r="K23" s="60"/>
      <c r="L23" s="60"/>
      <c r="M23" s="60"/>
    </row>
    <row r="24" spans="1:13" ht="15.95" customHeight="1">
      <c r="A24" s="67">
        <v>1987</v>
      </c>
      <c r="B24" s="68">
        <v>28.400000000000002</v>
      </c>
      <c r="C24" s="68">
        <v>16.414637000000003</v>
      </c>
      <c r="D24" s="68">
        <v>20.956474111111106</v>
      </c>
      <c r="E24" s="69">
        <v>65.771111111111111</v>
      </c>
      <c r="F24" s="60"/>
      <c r="G24" s="60"/>
      <c r="H24" s="60"/>
      <c r="I24" s="60"/>
      <c r="J24" s="60"/>
      <c r="K24" s="60"/>
      <c r="L24" s="60"/>
      <c r="M24" s="60"/>
    </row>
    <row r="25" spans="1:13" ht="15.95" customHeight="1">
      <c r="A25" s="910">
        <v>1988</v>
      </c>
      <c r="B25" s="911">
        <v>26.199999999999996</v>
      </c>
      <c r="C25" s="911">
        <v>16.899072</v>
      </c>
      <c r="D25" s="911">
        <v>21.372039111111111</v>
      </c>
      <c r="E25" s="912">
        <v>64.471111111111099</v>
      </c>
      <c r="F25" s="60"/>
      <c r="G25" s="60"/>
      <c r="H25" s="60"/>
      <c r="I25" s="60"/>
      <c r="J25" s="60"/>
      <c r="K25" s="60"/>
      <c r="L25" s="60"/>
      <c r="M25" s="60"/>
    </row>
    <row r="26" spans="1:13" ht="15.95" customHeight="1">
      <c r="A26" s="67">
        <v>1989</v>
      </c>
      <c r="B26" s="68">
        <v>23.6</v>
      </c>
      <c r="C26" s="68">
        <v>17.606405000000002</v>
      </c>
      <c r="D26" s="68">
        <v>22.669706111111108</v>
      </c>
      <c r="E26" s="69">
        <v>63.876111111111115</v>
      </c>
      <c r="F26" s="60"/>
      <c r="G26" s="60"/>
      <c r="H26" s="60"/>
      <c r="I26" s="60"/>
      <c r="J26" s="60"/>
      <c r="K26" s="60"/>
      <c r="L26" s="60"/>
      <c r="M26" s="60"/>
    </row>
    <row r="27" spans="1:13" ht="15.95" customHeight="1">
      <c r="A27" s="910">
        <v>1990</v>
      </c>
      <c r="B27" s="911">
        <v>25.8</v>
      </c>
      <c r="C27" s="911">
        <v>17.863341999999999</v>
      </c>
      <c r="D27" s="911">
        <v>21.343602444444446</v>
      </c>
      <c r="E27" s="912">
        <v>65.006944444444443</v>
      </c>
      <c r="F27" s="60"/>
      <c r="G27" s="60"/>
      <c r="H27" s="60"/>
      <c r="I27" s="60"/>
      <c r="J27" s="60"/>
      <c r="K27" s="60"/>
      <c r="L27" s="60"/>
      <c r="M27" s="60"/>
    </row>
    <row r="28" spans="1:13" ht="15.95" customHeight="1">
      <c r="A28" s="67">
        <v>1991</v>
      </c>
      <c r="B28" s="68">
        <v>26.399999999999995</v>
      </c>
      <c r="C28" s="68">
        <v>18.668115</v>
      </c>
      <c r="D28" s="68">
        <v>23.821884999999998</v>
      </c>
      <c r="E28" s="69">
        <v>68.889999999999986</v>
      </c>
      <c r="F28" s="60"/>
      <c r="G28" s="60"/>
      <c r="H28" s="60"/>
      <c r="I28" s="60"/>
      <c r="J28" s="60"/>
      <c r="K28" s="60"/>
      <c r="L28" s="60"/>
      <c r="M28" s="60"/>
    </row>
    <row r="29" spans="1:13" ht="15.95" customHeight="1">
      <c r="A29" s="910">
        <v>1992</v>
      </c>
      <c r="B29" s="911">
        <v>26.299999999999994</v>
      </c>
      <c r="C29" s="911">
        <v>18.678668000000002</v>
      </c>
      <c r="D29" s="911">
        <v>22.835498666666677</v>
      </c>
      <c r="E29" s="912">
        <v>67.814166666666679</v>
      </c>
      <c r="F29" s="60"/>
      <c r="G29" s="60"/>
      <c r="H29" s="60"/>
      <c r="I29" s="60"/>
      <c r="J29" s="60"/>
      <c r="K29" s="60"/>
      <c r="L29" s="60"/>
      <c r="M29" s="60"/>
    </row>
    <row r="30" spans="1:13" ht="15.95" customHeight="1">
      <c r="A30" s="67">
        <v>1993</v>
      </c>
      <c r="B30" s="68">
        <v>26.5</v>
      </c>
      <c r="C30" s="68">
        <v>19.043064999999999</v>
      </c>
      <c r="D30" s="68">
        <v>23.881935000000002</v>
      </c>
      <c r="E30" s="69">
        <v>69.424999999999997</v>
      </c>
      <c r="F30" s="60"/>
      <c r="G30" s="60"/>
      <c r="H30" s="60"/>
      <c r="I30" s="60"/>
      <c r="J30" s="60"/>
      <c r="K30" s="60"/>
      <c r="L30" s="60"/>
      <c r="M30" s="60"/>
    </row>
    <row r="31" spans="1:13" ht="15.95" customHeight="1">
      <c r="A31" s="910">
        <v>1994</v>
      </c>
      <c r="B31" s="911">
        <v>26.058999999999997</v>
      </c>
      <c r="C31" s="911">
        <v>18.219424</v>
      </c>
      <c r="D31" s="911">
        <v>25.931853777777782</v>
      </c>
      <c r="E31" s="912">
        <v>70.210277777777776</v>
      </c>
      <c r="F31" s="60"/>
      <c r="G31" s="60"/>
      <c r="H31" s="60"/>
      <c r="I31" s="60"/>
      <c r="J31" s="60"/>
      <c r="K31" s="60"/>
      <c r="L31" s="60"/>
      <c r="M31" s="60"/>
    </row>
    <row r="32" spans="1:13" ht="15.95" customHeight="1">
      <c r="A32" s="67">
        <v>1995</v>
      </c>
      <c r="B32" s="68">
        <v>25.321999999999996</v>
      </c>
      <c r="C32" s="68">
        <v>19.651836000000003</v>
      </c>
      <c r="D32" s="68">
        <v>25.454219555555543</v>
      </c>
      <c r="E32" s="69">
        <v>70.428055555555545</v>
      </c>
      <c r="F32" s="60"/>
      <c r="G32" s="60"/>
      <c r="H32" s="60"/>
      <c r="I32" s="60"/>
      <c r="J32" s="60"/>
      <c r="K32" s="60"/>
      <c r="L32" s="60"/>
      <c r="M32" s="60"/>
    </row>
    <row r="33" spans="1:13" ht="15.95" customHeight="1">
      <c r="A33" s="910">
        <v>1996</v>
      </c>
      <c r="B33" s="911">
        <v>27.296999999999997</v>
      </c>
      <c r="C33" s="911">
        <v>19.338758000000002</v>
      </c>
      <c r="D33" s="911">
        <v>24.966186444444435</v>
      </c>
      <c r="E33" s="912">
        <v>71.601944444444428</v>
      </c>
      <c r="F33" s="60"/>
      <c r="G33" s="60"/>
      <c r="H33" s="60"/>
      <c r="I33" s="60"/>
      <c r="J33" s="60"/>
      <c r="K33" s="60"/>
      <c r="L33" s="60"/>
      <c r="M33" s="60"/>
    </row>
    <row r="34" spans="1:13" ht="15.95" customHeight="1">
      <c r="A34" s="67">
        <v>1997</v>
      </c>
      <c r="B34" s="68">
        <v>26.099999999999998</v>
      </c>
      <c r="C34" s="68">
        <v>18.568560000000002</v>
      </c>
      <c r="D34" s="68">
        <v>24.903384444444438</v>
      </c>
      <c r="E34" s="69">
        <v>69.571944444444441</v>
      </c>
      <c r="F34" s="60"/>
      <c r="G34" s="60"/>
      <c r="H34" s="60"/>
      <c r="I34" s="60"/>
      <c r="J34" s="60"/>
      <c r="K34" s="60"/>
      <c r="L34" s="60"/>
      <c r="M34" s="60"/>
    </row>
    <row r="35" spans="1:13" ht="15.95" customHeight="1">
      <c r="A35" s="910">
        <v>1998</v>
      </c>
      <c r="B35" s="911">
        <v>23.900000000000002</v>
      </c>
      <c r="C35" s="911">
        <v>19.329730000000005</v>
      </c>
      <c r="D35" s="911">
        <v>26.694992222222215</v>
      </c>
      <c r="E35" s="912">
        <v>69.924722222222215</v>
      </c>
      <c r="F35" s="60"/>
      <c r="G35" s="60"/>
      <c r="H35" s="60"/>
      <c r="I35" s="60"/>
      <c r="J35" s="60"/>
      <c r="K35" s="60"/>
      <c r="L35" s="60"/>
      <c r="M35" s="60"/>
    </row>
    <row r="36" spans="1:13" ht="15.95" customHeight="1">
      <c r="A36" s="67">
        <v>1999</v>
      </c>
      <c r="B36" s="68">
        <v>21.500000000000004</v>
      </c>
      <c r="C36" s="68">
        <v>16.906334000000001</v>
      </c>
      <c r="D36" s="68">
        <v>30.693388222222218</v>
      </c>
      <c r="E36" s="69">
        <v>69.099722222222226</v>
      </c>
      <c r="F36" s="60"/>
      <c r="G36" s="60"/>
      <c r="H36" s="60"/>
      <c r="I36" s="60"/>
      <c r="J36" s="60"/>
      <c r="K36" s="60"/>
      <c r="L36" s="60"/>
      <c r="M36" s="60"/>
    </row>
    <row r="37" spans="1:13" ht="15.95" customHeight="1">
      <c r="A37" s="910">
        <v>2000</v>
      </c>
      <c r="B37" s="911">
        <v>20.599999999999998</v>
      </c>
      <c r="C37" s="911">
        <v>17.658676</v>
      </c>
      <c r="D37" s="911">
        <v>30.69299066666667</v>
      </c>
      <c r="E37" s="912">
        <v>68.951666666666668</v>
      </c>
      <c r="F37" s="60"/>
      <c r="G37" s="60"/>
      <c r="H37" s="60"/>
      <c r="I37" s="60"/>
      <c r="J37" s="60"/>
      <c r="K37" s="60"/>
      <c r="L37" s="60"/>
      <c r="M37" s="60"/>
    </row>
    <row r="38" spans="1:13" ht="15.95" customHeight="1">
      <c r="A38" s="67">
        <v>2001</v>
      </c>
      <c r="B38" s="68">
        <v>22.16</v>
      </c>
      <c r="C38" s="68">
        <v>19.162499999999998</v>
      </c>
      <c r="D38" s="68">
        <v>31.813333333333333</v>
      </c>
      <c r="E38" s="69">
        <v>73.135833333333323</v>
      </c>
      <c r="F38" s="60"/>
      <c r="G38" s="60"/>
      <c r="H38" s="60"/>
      <c r="I38" s="60"/>
      <c r="J38" s="60"/>
      <c r="K38" s="60"/>
      <c r="L38" s="60"/>
      <c r="M38" s="60"/>
    </row>
    <row r="39" spans="1:13" ht="15.95" customHeight="1">
      <c r="A39" s="910">
        <v>2002</v>
      </c>
      <c r="B39" s="911">
        <v>22.113199999999999</v>
      </c>
      <c r="C39" s="911">
        <v>19.630121000000003</v>
      </c>
      <c r="D39" s="911">
        <v>30.776679000000001</v>
      </c>
      <c r="E39" s="912">
        <v>72.52000000000001</v>
      </c>
      <c r="F39" s="60"/>
      <c r="G39" s="60"/>
      <c r="H39" s="60"/>
      <c r="I39" s="60"/>
      <c r="J39" s="60"/>
      <c r="K39" s="60"/>
      <c r="L39" s="60"/>
      <c r="M39" s="60"/>
    </row>
    <row r="40" spans="1:13" ht="15.95" customHeight="1">
      <c r="A40" s="67">
        <v>2003</v>
      </c>
      <c r="B40" s="68">
        <v>22.0731</v>
      </c>
      <c r="C40" s="68">
        <v>20.082899999999999</v>
      </c>
      <c r="D40" s="68">
        <v>29.935111111111112</v>
      </c>
      <c r="E40" s="69">
        <v>72.091111111111104</v>
      </c>
      <c r="F40" s="60"/>
      <c r="G40" s="60"/>
      <c r="H40" s="60"/>
      <c r="I40" s="60"/>
      <c r="J40" s="60"/>
      <c r="K40" s="60"/>
      <c r="L40" s="60"/>
      <c r="M40" s="60"/>
    </row>
    <row r="41" spans="1:13" ht="15.95" customHeight="1">
      <c r="A41" s="910">
        <v>2004</v>
      </c>
      <c r="B41" s="911">
        <v>22.825700000000001</v>
      </c>
      <c r="C41" s="911">
        <v>19.457605000000004</v>
      </c>
      <c r="D41" s="911">
        <v>29.743917222222219</v>
      </c>
      <c r="E41" s="912">
        <v>72.027222222222221</v>
      </c>
      <c r="F41" s="60"/>
      <c r="G41" s="60"/>
      <c r="H41" s="60"/>
      <c r="I41" s="60"/>
      <c r="J41" s="60"/>
      <c r="K41" s="60"/>
      <c r="L41" s="60"/>
      <c r="M41" s="60"/>
    </row>
    <row r="42" spans="1:13" ht="15.95" customHeight="1">
      <c r="A42" s="67">
        <v>2005</v>
      </c>
      <c r="B42" s="68">
        <v>20.834800000000001</v>
      </c>
      <c r="C42" s="68">
        <v>19.714599999999997</v>
      </c>
      <c r="D42" s="68">
        <v>31.106711111111107</v>
      </c>
      <c r="E42" s="69">
        <v>71.656111111111102</v>
      </c>
      <c r="F42" s="60"/>
      <c r="G42" s="60"/>
      <c r="H42" s="60"/>
      <c r="I42" s="60"/>
      <c r="J42" s="60"/>
      <c r="K42" s="60"/>
      <c r="L42" s="60"/>
      <c r="M42" s="60"/>
    </row>
    <row r="43" spans="1:13" ht="15.95" customHeight="1">
      <c r="A43" s="910">
        <v>2006</v>
      </c>
      <c r="B43" s="911">
        <v>20.936499999999999</v>
      </c>
      <c r="C43" s="911">
        <v>19.5227</v>
      </c>
      <c r="D43" s="911">
        <v>30.935522222222218</v>
      </c>
      <c r="E43" s="912">
        <v>71.394722222222214</v>
      </c>
      <c r="F43" s="60"/>
      <c r="G43" s="60"/>
      <c r="H43" s="60"/>
      <c r="I43" s="60"/>
      <c r="J43" s="60"/>
      <c r="K43" s="60"/>
      <c r="L43" s="60"/>
      <c r="M43" s="60"/>
    </row>
    <row r="44" spans="1:13" ht="15.95" customHeight="1">
      <c r="A44" s="67">
        <v>2007</v>
      </c>
      <c r="B44" s="68">
        <v>18.428899999999999</v>
      </c>
      <c r="C44" s="68">
        <v>19.252099999999999</v>
      </c>
      <c r="D44" s="68">
        <v>31.511500000000009</v>
      </c>
      <c r="E44" s="69">
        <v>69.19250000000001</v>
      </c>
      <c r="F44" s="60"/>
      <c r="G44" s="60"/>
      <c r="H44" s="60"/>
      <c r="I44" s="60"/>
      <c r="J44" s="60"/>
      <c r="K44" s="60"/>
      <c r="L44" s="60"/>
      <c r="M44" s="60"/>
    </row>
    <row r="45" spans="1:13" ht="15.95" customHeight="1">
      <c r="A45" s="910">
        <v>2008</v>
      </c>
      <c r="B45" s="911">
        <v>16.832000000000001</v>
      </c>
      <c r="C45" s="911">
        <v>19.344000000000001</v>
      </c>
      <c r="D45" s="911">
        <v>32.020666666666671</v>
      </c>
      <c r="E45" s="912">
        <v>68.196666666666673</v>
      </c>
      <c r="F45" s="60"/>
      <c r="G45" s="60"/>
      <c r="H45" s="60"/>
      <c r="I45" s="60"/>
      <c r="J45" s="60"/>
      <c r="K45" s="60"/>
      <c r="L45" s="60"/>
      <c r="M45" s="60"/>
    </row>
    <row r="46" spans="1:13" ht="15.95" customHeight="1">
      <c r="A46" s="67">
        <v>2009</v>
      </c>
      <c r="B46" s="68">
        <v>18.1998</v>
      </c>
      <c r="C46" s="68">
        <v>20.720950000000002</v>
      </c>
      <c r="D46" s="68">
        <v>32.495638888888884</v>
      </c>
      <c r="E46" s="69">
        <v>71.416388888888889</v>
      </c>
      <c r="F46" s="60"/>
      <c r="G46" s="60"/>
      <c r="H46" s="60"/>
      <c r="I46" s="60"/>
      <c r="J46" s="60"/>
      <c r="K46" s="60"/>
      <c r="L46" s="60"/>
      <c r="M46" s="60"/>
    </row>
    <row r="47" spans="1:13" ht="15.95" customHeight="1">
      <c r="A47" s="910">
        <v>2010</v>
      </c>
      <c r="B47" s="911">
        <v>19.625600000000002</v>
      </c>
      <c r="C47" s="911">
        <v>21.763099999999998</v>
      </c>
      <c r="D47" s="911">
        <v>33.267688888888884</v>
      </c>
      <c r="E47" s="912">
        <v>74.656388888888884</v>
      </c>
      <c r="F47" s="60"/>
      <c r="G47" s="60"/>
      <c r="H47" s="60"/>
      <c r="I47" s="60"/>
      <c r="J47" s="60"/>
      <c r="K47" s="60"/>
      <c r="L47" s="60"/>
      <c r="M47" s="60"/>
    </row>
    <row r="48" spans="1:13" ht="15.95" customHeight="1">
      <c r="A48" s="67">
        <v>2011</v>
      </c>
      <c r="B48" s="68">
        <v>18.474899999999998</v>
      </c>
      <c r="C48" s="68">
        <v>20.624099999999999</v>
      </c>
      <c r="D48" s="68">
        <v>30.529611111111116</v>
      </c>
      <c r="E48" s="69">
        <v>69.628611111111113</v>
      </c>
      <c r="F48" s="60"/>
      <c r="G48" s="60"/>
      <c r="H48" s="60"/>
      <c r="I48" s="60"/>
      <c r="J48" s="60"/>
      <c r="K48" s="60"/>
      <c r="L48" s="60"/>
      <c r="M48" s="60"/>
    </row>
    <row r="49" spans="1:19" ht="15.95" customHeight="1">
      <c r="A49" s="910">
        <v>2012</v>
      </c>
      <c r="B49" s="911">
        <v>19.004300000000001</v>
      </c>
      <c r="C49" s="911">
        <v>21.9465</v>
      </c>
      <c r="D49" s="911">
        <v>30.294755555555543</v>
      </c>
      <c r="E49" s="912">
        <v>71.245555555555541</v>
      </c>
      <c r="F49" s="60"/>
      <c r="G49" s="60"/>
      <c r="H49" s="60"/>
      <c r="I49" s="60"/>
      <c r="J49" s="60"/>
      <c r="K49" s="60"/>
      <c r="L49" s="60"/>
      <c r="M49" s="60"/>
    </row>
    <row r="50" spans="1:19" ht="15.95" customHeight="1">
      <c r="A50" s="67">
        <v>2013</v>
      </c>
      <c r="B50" s="68">
        <v>19.596399999999999</v>
      </c>
      <c r="C50" s="68">
        <v>21.547599999999999</v>
      </c>
      <c r="D50" s="68">
        <v>29.762388888888896</v>
      </c>
      <c r="E50" s="69">
        <v>70.906388888888898</v>
      </c>
      <c r="F50" s="60"/>
      <c r="G50" s="60"/>
      <c r="H50" s="60"/>
      <c r="I50" s="60"/>
      <c r="J50" s="60"/>
      <c r="K50" s="60"/>
      <c r="L50" s="60"/>
      <c r="M50" s="60"/>
    </row>
    <row r="51" spans="1:19" ht="15.95" customHeight="1">
      <c r="A51" s="910">
        <v>2014</v>
      </c>
      <c r="B51" s="911">
        <v>18.662401171155835</v>
      </c>
      <c r="C51" s="911">
        <v>21.497900000000001</v>
      </c>
      <c r="D51" s="911">
        <v>27.883032162177493</v>
      </c>
      <c r="E51" s="912">
        <v>68.043333333333322</v>
      </c>
      <c r="F51" s="60"/>
      <c r="G51" s="60"/>
      <c r="H51" s="60"/>
      <c r="I51" s="60"/>
      <c r="J51" s="60"/>
      <c r="K51" s="60"/>
      <c r="L51" s="60"/>
      <c r="M51" s="60"/>
    </row>
    <row r="52" spans="1:19" ht="15.95" customHeight="1">
      <c r="A52" s="67">
        <v>2015</v>
      </c>
      <c r="B52" s="68">
        <v>18.801709913051951</v>
      </c>
      <c r="C52" s="68">
        <v>21.478099999999998</v>
      </c>
      <c r="D52" s="68">
        <v>30.408801198059162</v>
      </c>
      <c r="E52" s="69">
        <v>70.688611111111115</v>
      </c>
      <c r="F52" s="621"/>
      <c r="G52" s="621"/>
      <c r="H52" s="621"/>
      <c r="I52" s="619"/>
      <c r="J52" s="244"/>
      <c r="K52" s="70"/>
      <c r="L52" s="70"/>
      <c r="M52" s="70"/>
      <c r="N52" s="70"/>
      <c r="O52" s="70"/>
      <c r="P52" s="70"/>
      <c r="Q52" s="70"/>
      <c r="R52" s="70"/>
      <c r="S52" s="70"/>
    </row>
    <row r="53" spans="1:19" ht="13.15">
      <c r="F53" s="60"/>
      <c r="G53" s="60"/>
      <c r="H53" s="60"/>
      <c r="I53" s="60"/>
      <c r="J53" s="60"/>
      <c r="K53" s="60"/>
      <c r="L53" s="60"/>
      <c r="M53" s="60"/>
    </row>
    <row r="54" spans="1:19" ht="16.5" customHeight="1">
      <c r="A54" s="56" t="s">
        <v>27</v>
      </c>
      <c r="B54" s="468"/>
      <c r="C54" s="468"/>
      <c r="D54" s="468"/>
      <c r="E54" s="468"/>
      <c r="F54" s="60"/>
      <c r="G54" s="60"/>
      <c r="H54" s="60"/>
      <c r="I54" s="60"/>
      <c r="J54" s="60"/>
      <c r="K54" s="60"/>
      <c r="L54" s="60"/>
      <c r="M54" s="60"/>
    </row>
    <row r="55" spans="1:19" ht="16.5" customHeight="1">
      <c r="A55" s="56" t="s">
        <v>482</v>
      </c>
      <c r="B55" s="468"/>
      <c r="C55" s="468"/>
      <c r="D55" s="468"/>
      <c r="E55" s="468"/>
      <c r="F55" s="60"/>
      <c r="G55" s="60"/>
      <c r="H55" s="60"/>
      <c r="I55" s="60"/>
      <c r="J55" s="60"/>
      <c r="K55" s="60"/>
      <c r="L55" s="60"/>
      <c r="M55" s="60"/>
    </row>
    <row r="56" spans="1:19" ht="55.5" customHeight="1">
      <c r="A56" s="1050" t="s">
        <v>520</v>
      </c>
      <c r="B56" s="1050"/>
      <c r="C56" s="1050"/>
      <c r="D56" s="1050"/>
      <c r="E56" s="1050"/>
      <c r="F56" s="60"/>
      <c r="G56" s="60"/>
      <c r="H56" s="60"/>
      <c r="I56" s="60"/>
      <c r="J56" s="60"/>
      <c r="K56" s="60"/>
      <c r="L56" s="60"/>
      <c r="M56" s="60"/>
    </row>
    <row r="57" spans="1:19" ht="13.15">
      <c r="A57" s="60"/>
      <c r="B57" s="60"/>
      <c r="C57" s="60"/>
      <c r="D57" s="60"/>
      <c r="E57" s="60"/>
      <c r="F57" s="60"/>
      <c r="G57" s="60"/>
      <c r="H57" s="60"/>
      <c r="I57" s="60"/>
      <c r="J57" s="60"/>
      <c r="K57" s="60"/>
      <c r="L57" s="60"/>
      <c r="M57" s="60"/>
    </row>
    <row r="58" spans="1:19" ht="13.15">
      <c r="A58" s="60"/>
      <c r="B58" s="60"/>
      <c r="C58" s="60"/>
      <c r="D58" s="60"/>
      <c r="E58" s="60"/>
      <c r="F58" s="60"/>
      <c r="G58" s="60"/>
      <c r="H58" s="60"/>
      <c r="I58" s="60"/>
      <c r="J58" s="60"/>
      <c r="K58" s="60"/>
      <c r="L58" s="60"/>
      <c r="M58" s="60"/>
    </row>
    <row r="59" spans="1:19" ht="13.15">
      <c r="A59" s="60"/>
      <c r="B59" s="60"/>
      <c r="C59" s="60"/>
      <c r="D59" s="60"/>
      <c r="E59" s="60"/>
      <c r="F59" s="60"/>
      <c r="G59" s="60"/>
      <c r="H59" s="60"/>
      <c r="I59" s="60"/>
      <c r="J59" s="60"/>
      <c r="K59" s="60"/>
      <c r="L59" s="60"/>
      <c r="M59" s="60"/>
    </row>
    <row r="60" spans="1:19" ht="13.15">
      <c r="A60" s="60"/>
      <c r="B60" s="60"/>
      <c r="C60" s="60"/>
      <c r="D60" s="60"/>
      <c r="E60" s="60"/>
      <c r="F60" s="60"/>
      <c r="G60" s="60"/>
      <c r="H60" s="60"/>
      <c r="I60" s="60"/>
      <c r="J60" s="60"/>
      <c r="K60" s="60"/>
      <c r="L60" s="60"/>
      <c r="M60" s="60"/>
    </row>
    <row r="61" spans="1:19" ht="13.15">
      <c r="A61" s="60"/>
      <c r="B61" s="60"/>
      <c r="C61" s="60"/>
      <c r="D61" s="60"/>
      <c r="E61" s="60"/>
      <c r="F61" s="60"/>
      <c r="G61" s="60"/>
      <c r="H61" s="60"/>
      <c r="I61" s="60"/>
      <c r="J61" s="60"/>
      <c r="K61" s="60"/>
      <c r="L61" s="60"/>
      <c r="M61" s="60"/>
    </row>
    <row r="62" spans="1:19" ht="13.15">
      <c r="A62" s="60"/>
      <c r="B62" s="60"/>
      <c r="C62" s="60"/>
      <c r="D62" s="60"/>
      <c r="E62" s="60"/>
      <c r="F62" s="60"/>
      <c r="G62" s="60"/>
      <c r="H62" s="60"/>
      <c r="I62" s="60"/>
      <c r="J62" s="60"/>
      <c r="K62" s="60"/>
      <c r="L62" s="60"/>
      <c r="M62" s="60"/>
    </row>
    <row r="63" spans="1:19" ht="13.15">
      <c r="A63" s="60"/>
      <c r="B63" s="60"/>
      <c r="C63" s="60"/>
      <c r="D63" s="60"/>
      <c r="E63" s="60"/>
      <c r="F63" s="60"/>
      <c r="G63" s="60"/>
      <c r="H63" s="60"/>
      <c r="I63" s="60"/>
      <c r="J63" s="60"/>
      <c r="K63" s="60"/>
      <c r="L63" s="60"/>
      <c r="M63" s="60"/>
    </row>
    <row r="64" spans="1:19" ht="13.15">
      <c r="A64" s="60"/>
      <c r="B64" s="60"/>
      <c r="C64" s="60"/>
      <c r="D64" s="60"/>
      <c r="E64" s="60"/>
      <c r="F64" s="60"/>
      <c r="G64" s="60"/>
      <c r="H64" s="60"/>
      <c r="I64" s="60"/>
      <c r="J64" s="60"/>
      <c r="K64" s="60"/>
      <c r="L64" s="60"/>
      <c r="M64" s="60"/>
    </row>
    <row r="65" spans="1:13" ht="13.15">
      <c r="A65" s="60"/>
      <c r="B65" s="60"/>
      <c r="C65" s="60"/>
      <c r="D65" s="60"/>
      <c r="E65" s="60"/>
      <c r="F65" s="60"/>
      <c r="G65" s="60"/>
      <c r="H65" s="60"/>
      <c r="I65" s="60"/>
      <c r="J65" s="60"/>
      <c r="K65" s="60"/>
      <c r="L65" s="60"/>
      <c r="M65" s="60"/>
    </row>
    <row r="66" spans="1:13" ht="13.15">
      <c r="A66" s="60"/>
      <c r="B66" s="60"/>
      <c r="C66" s="60"/>
      <c r="D66" s="60"/>
      <c r="E66" s="60"/>
      <c r="F66" s="60"/>
      <c r="G66" s="60"/>
      <c r="H66" s="60"/>
      <c r="I66" s="60"/>
      <c r="J66" s="60"/>
      <c r="K66" s="60"/>
      <c r="L66" s="60"/>
      <c r="M66" s="60"/>
    </row>
    <row r="67" spans="1:13" ht="13.15">
      <c r="A67" s="60"/>
      <c r="B67" s="60"/>
      <c r="C67" s="60"/>
      <c r="D67" s="60"/>
      <c r="E67" s="60"/>
      <c r="F67" s="60"/>
      <c r="G67" s="60"/>
      <c r="H67" s="60"/>
      <c r="I67" s="60"/>
      <c r="J67" s="60"/>
      <c r="K67" s="60"/>
      <c r="L67" s="60"/>
      <c r="M67" s="60"/>
    </row>
    <row r="68" spans="1:13" ht="13.15">
      <c r="A68" s="60"/>
      <c r="B68" s="60"/>
      <c r="C68" s="60"/>
      <c r="D68" s="60"/>
      <c r="E68" s="60"/>
      <c r="F68" s="60"/>
      <c r="G68" s="60"/>
      <c r="H68" s="60"/>
      <c r="I68" s="60"/>
      <c r="J68" s="60"/>
      <c r="K68" s="60"/>
      <c r="L68" s="60"/>
      <c r="M68" s="60"/>
    </row>
    <row r="69" spans="1:13" ht="13.15">
      <c r="A69" s="60"/>
      <c r="B69" s="60"/>
      <c r="C69" s="60"/>
      <c r="D69" s="60"/>
      <c r="E69" s="60"/>
      <c r="F69" s="60"/>
      <c r="G69" s="60"/>
      <c r="H69" s="60"/>
      <c r="I69" s="60"/>
      <c r="J69" s="60"/>
      <c r="K69" s="60"/>
      <c r="L69" s="60"/>
      <c r="M69" s="60"/>
    </row>
    <row r="70" spans="1:13" ht="13.15">
      <c r="A70" s="60"/>
      <c r="B70" s="60"/>
      <c r="C70" s="60"/>
      <c r="D70" s="60"/>
      <c r="E70" s="60"/>
      <c r="F70" s="60"/>
      <c r="G70" s="60"/>
      <c r="H70" s="60"/>
      <c r="I70" s="60"/>
      <c r="J70" s="60"/>
      <c r="K70" s="60"/>
      <c r="L70" s="60"/>
      <c r="M70" s="60"/>
    </row>
    <row r="71" spans="1:13" ht="13.15">
      <c r="A71" s="60"/>
      <c r="B71" s="60"/>
      <c r="C71" s="60"/>
      <c r="D71" s="60"/>
      <c r="E71" s="60"/>
      <c r="F71" s="60"/>
      <c r="G71" s="60"/>
      <c r="H71" s="60"/>
      <c r="I71" s="60"/>
      <c r="J71" s="60"/>
      <c r="K71" s="60"/>
      <c r="L71" s="60"/>
      <c r="M71" s="60"/>
    </row>
    <row r="72" spans="1:13" ht="13.15">
      <c r="A72" s="60"/>
      <c r="B72" s="60"/>
      <c r="C72" s="60"/>
      <c r="D72" s="60"/>
      <c r="E72" s="60"/>
      <c r="F72" s="60"/>
      <c r="G72" s="60"/>
      <c r="H72" s="60"/>
      <c r="I72" s="60"/>
      <c r="J72" s="60"/>
      <c r="K72" s="60"/>
      <c r="L72" s="60"/>
      <c r="M72" s="60"/>
    </row>
    <row r="73" spans="1:13" ht="13.15">
      <c r="A73" s="60"/>
      <c r="B73" s="60"/>
      <c r="C73" s="60"/>
      <c r="D73" s="60"/>
      <c r="E73" s="60"/>
      <c r="F73" s="60"/>
      <c r="G73" s="60"/>
      <c r="H73" s="60"/>
      <c r="I73" s="60"/>
      <c r="J73" s="60"/>
      <c r="K73" s="60"/>
      <c r="L73" s="60"/>
      <c r="M73" s="60"/>
    </row>
    <row r="74" spans="1:13" ht="13.15">
      <c r="A74" s="60"/>
      <c r="B74" s="60"/>
      <c r="C74" s="60"/>
      <c r="D74" s="60"/>
      <c r="E74" s="60"/>
      <c r="F74" s="60"/>
      <c r="G74" s="60"/>
      <c r="H74" s="60"/>
      <c r="I74" s="60"/>
      <c r="J74" s="60"/>
      <c r="K74" s="60"/>
      <c r="L74" s="60"/>
      <c r="M74" s="60"/>
    </row>
    <row r="75" spans="1:13" ht="13.15">
      <c r="A75" s="60"/>
      <c r="B75" s="60"/>
      <c r="C75" s="60"/>
      <c r="D75" s="60"/>
      <c r="E75" s="60"/>
      <c r="F75" s="60"/>
      <c r="G75" s="60"/>
      <c r="H75" s="60"/>
      <c r="I75" s="60"/>
      <c r="J75" s="60"/>
      <c r="K75" s="60"/>
      <c r="L75" s="60"/>
      <c r="M75" s="60"/>
    </row>
    <row r="76" spans="1:13" ht="13.15">
      <c r="A76" s="60"/>
      <c r="B76" s="60"/>
      <c r="C76" s="60"/>
      <c r="D76" s="60"/>
      <c r="E76" s="60"/>
      <c r="F76" s="60"/>
      <c r="G76" s="60"/>
      <c r="H76" s="60"/>
      <c r="I76" s="60"/>
      <c r="J76" s="60"/>
      <c r="K76" s="60"/>
      <c r="L76" s="60"/>
      <c r="M76" s="60"/>
    </row>
    <row r="77" spans="1:13" ht="13.15">
      <c r="A77" s="60"/>
      <c r="B77" s="60"/>
      <c r="C77" s="60"/>
      <c r="D77" s="60"/>
      <c r="E77" s="60"/>
      <c r="F77" s="60"/>
      <c r="G77" s="60"/>
      <c r="H77" s="60"/>
      <c r="I77" s="60"/>
      <c r="J77" s="60"/>
      <c r="K77" s="60"/>
      <c r="L77" s="60"/>
      <c r="M77" s="60"/>
    </row>
    <row r="78" spans="1:13" ht="13.15">
      <c r="A78" s="60"/>
      <c r="B78" s="60"/>
      <c r="C78" s="60"/>
      <c r="D78" s="60"/>
      <c r="E78" s="60"/>
      <c r="F78" s="60"/>
      <c r="G78" s="60"/>
      <c r="H78" s="60"/>
      <c r="I78" s="60"/>
      <c r="J78" s="60"/>
      <c r="K78" s="60"/>
      <c r="L78" s="60"/>
      <c r="M78" s="60"/>
    </row>
    <row r="79" spans="1:13" ht="13.15">
      <c r="A79" s="60"/>
      <c r="B79" s="60"/>
      <c r="C79" s="60"/>
      <c r="D79" s="60"/>
      <c r="E79" s="60"/>
      <c r="F79" s="60"/>
      <c r="G79" s="60"/>
      <c r="H79" s="60"/>
      <c r="I79" s="60"/>
      <c r="J79" s="60"/>
      <c r="K79" s="60"/>
      <c r="L79" s="60"/>
      <c r="M79" s="60"/>
    </row>
    <row r="80" spans="1:13" ht="13.15">
      <c r="A80" s="60"/>
      <c r="B80" s="60"/>
      <c r="C80" s="60"/>
      <c r="D80" s="60"/>
      <c r="E80" s="60"/>
      <c r="F80" s="60"/>
      <c r="G80" s="60"/>
      <c r="H80" s="60"/>
      <c r="I80" s="60"/>
      <c r="J80" s="60"/>
      <c r="K80" s="60"/>
      <c r="L80" s="60"/>
      <c r="M80" s="60"/>
    </row>
    <row r="81" spans="1:13" ht="13.15">
      <c r="A81" s="60"/>
      <c r="B81" s="60"/>
      <c r="C81" s="60"/>
      <c r="D81" s="60"/>
      <c r="E81" s="60"/>
      <c r="F81" s="60"/>
      <c r="G81" s="60"/>
      <c r="H81" s="60"/>
      <c r="I81" s="60"/>
      <c r="J81" s="60"/>
      <c r="K81" s="60"/>
      <c r="L81" s="60"/>
      <c r="M81" s="60"/>
    </row>
    <row r="82" spans="1:13" ht="13.15">
      <c r="A82" s="60"/>
      <c r="B82" s="60"/>
      <c r="C82" s="60"/>
      <c r="D82" s="60"/>
      <c r="E82" s="60"/>
      <c r="F82" s="60"/>
      <c r="G82" s="60"/>
      <c r="H82" s="60"/>
      <c r="I82" s="60"/>
      <c r="J82" s="60"/>
      <c r="K82" s="60"/>
      <c r="L82" s="60"/>
      <c r="M82" s="60"/>
    </row>
    <row r="83" spans="1:13" ht="13.15">
      <c r="A83" s="60"/>
      <c r="B83" s="60"/>
      <c r="C83" s="60"/>
      <c r="D83" s="60"/>
      <c r="E83" s="60"/>
      <c r="F83" s="60"/>
      <c r="G83" s="60"/>
      <c r="H83" s="60"/>
      <c r="I83" s="60"/>
      <c r="J83" s="60"/>
      <c r="K83" s="60"/>
      <c r="L83" s="60"/>
      <c r="M83" s="60"/>
    </row>
    <row r="84" spans="1:13" ht="13.15">
      <c r="A84" s="60"/>
      <c r="B84" s="60"/>
      <c r="C84" s="60"/>
      <c r="D84" s="60"/>
      <c r="E84" s="60"/>
      <c r="F84" s="60"/>
      <c r="G84" s="60"/>
      <c r="H84" s="60"/>
      <c r="I84" s="60"/>
      <c r="J84" s="60"/>
      <c r="K84" s="60"/>
      <c r="L84" s="60"/>
      <c r="M84" s="60"/>
    </row>
    <row r="85" spans="1:13" ht="13.15">
      <c r="A85" s="60"/>
      <c r="B85" s="60"/>
      <c r="C85" s="60"/>
      <c r="D85" s="60"/>
      <c r="E85" s="60"/>
      <c r="F85" s="60"/>
      <c r="G85" s="60"/>
      <c r="H85" s="60"/>
      <c r="I85" s="60"/>
      <c r="J85" s="60"/>
      <c r="K85" s="60"/>
      <c r="L85" s="60"/>
      <c r="M85" s="60"/>
    </row>
    <row r="86" spans="1:13" ht="13.15">
      <c r="A86" s="60"/>
      <c r="B86" s="60"/>
      <c r="C86" s="60"/>
      <c r="D86" s="60"/>
      <c r="E86" s="60"/>
      <c r="F86" s="60"/>
      <c r="G86" s="60"/>
      <c r="H86" s="60"/>
      <c r="I86" s="60"/>
      <c r="J86" s="60"/>
      <c r="K86" s="60"/>
      <c r="L86" s="60"/>
      <c r="M86" s="60"/>
    </row>
    <row r="87" spans="1:13" ht="13.15">
      <c r="A87" s="60"/>
      <c r="B87" s="60"/>
      <c r="C87" s="60"/>
      <c r="D87" s="60"/>
      <c r="E87" s="60"/>
      <c r="F87" s="60"/>
      <c r="G87" s="60"/>
      <c r="H87" s="60"/>
      <c r="I87" s="60"/>
      <c r="J87" s="60"/>
      <c r="K87" s="60"/>
      <c r="L87" s="60"/>
      <c r="M87" s="60"/>
    </row>
    <row r="88" spans="1:13" ht="13.15">
      <c r="A88" s="60"/>
      <c r="B88" s="60"/>
      <c r="C88" s="60"/>
      <c r="D88" s="60"/>
      <c r="E88" s="60"/>
      <c r="F88" s="60"/>
      <c r="G88" s="60"/>
      <c r="H88" s="60"/>
      <c r="I88" s="60"/>
      <c r="J88" s="60"/>
      <c r="K88" s="60"/>
      <c r="L88" s="60"/>
      <c r="M88" s="60"/>
    </row>
    <row r="89" spans="1:13" ht="13.15">
      <c r="A89" s="60"/>
      <c r="B89" s="60"/>
      <c r="C89" s="60"/>
      <c r="D89" s="60"/>
      <c r="E89" s="60"/>
      <c r="F89" s="60"/>
      <c r="G89" s="60"/>
      <c r="H89" s="60"/>
      <c r="I89" s="60"/>
      <c r="J89" s="60"/>
      <c r="K89" s="60"/>
      <c r="L89" s="60"/>
      <c r="M89" s="60"/>
    </row>
    <row r="90" spans="1:13" ht="13.15">
      <c r="A90" s="60"/>
      <c r="B90" s="60"/>
      <c r="C90" s="60"/>
      <c r="D90" s="60"/>
      <c r="E90" s="60"/>
      <c r="F90" s="60"/>
      <c r="G90" s="60"/>
      <c r="H90" s="60"/>
      <c r="I90" s="60"/>
      <c r="J90" s="60"/>
      <c r="K90" s="60"/>
      <c r="L90" s="60"/>
      <c r="M90" s="60"/>
    </row>
    <row r="91" spans="1:13" ht="13.15">
      <c r="A91" s="60"/>
      <c r="B91" s="60"/>
      <c r="C91" s="60"/>
      <c r="D91" s="60"/>
      <c r="E91" s="60"/>
      <c r="F91" s="60"/>
      <c r="G91" s="60"/>
      <c r="H91" s="60"/>
      <c r="I91" s="60"/>
      <c r="J91" s="60"/>
      <c r="K91" s="60"/>
      <c r="L91" s="60"/>
      <c r="M91" s="60"/>
    </row>
    <row r="92" spans="1:13" ht="13.15">
      <c r="A92" s="60"/>
      <c r="B92" s="60"/>
      <c r="C92" s="60"/>
      <c r="D92" s="60"/>
      <c r="E92" s="60"/>
      <c r="F92" s="60"/>
      <c r="G92" s="60"/>
      <c r="H92" s="60"/>
      <c r="I92" s="60"/>
      <c r="J92" s="60"/>
      <c r="K92" s="60"/>
      <c r="L92" s="60"/>
      <c r="M92" s="60"/>
    </row>
    <row r="93" spans="1:13" ht="13.15">
      <c r="A93" s="60"/>
      <c r="B93" s="60"/>
      <c r="C93" s="60"/>
      <c r="D93" s="60"/>
      <c r="E93" s="60"/>
      <c r="F93" s="60"/>
      <c r="G93" s="60"/>
      <c r="H93" s="60"/>
      <c r="I93" s="60"/>
      <c r="J93" s="60"/>
      <c r="K93" s="60"/>
      <c r="L93" s="60"/>
      <c r="M93" s="60"/>
    </row>
    <row r="94" spans="1:13" ht="13.15">
      <c r="A94" s="60"/>
      <c r="B94" s="60"/>
      <c r="C94" s="60"/>
      <c r="D94" s="60"/>
      <c r="E94" s="60"/>
      <c r="F94" s="60"/>
      <c r="G94" s="60"/>
      <c r="H94" s="60"/>
      <c r="I94" s="60"/>
      <c r="J94" s="60"/>
      <c r="K94" s="60"/>
      <c r="L94" s="60"/>
      <c r="M94" s="60"/>
    </row>
    <row r="95" spans="1:13" ht="13.15">
      <c r="A95" s="60"/>
      <c r="B95" s="60"/>
      <c r="C95" s="60"/>
      <c r="D95" s="60"/>
      <c r="E95" s="60"/>
      <c r="F95" s="60"/>
      <c r="G95" s="60"/>
      <c r="H95" s="60"/>
      <c r="I95" s="60"/>
      <c r="J95" s="60"/>
      <c r="K95" s="60"/>
      <c r="L95" s="60"/>
      <c r="M95" s="60"/>
    </row>
    <row r="96" spans="1:13" ht="13.15">
      <c r="A96" s="60"/>
      <c r="B96" s="60"/>
      <c r="C96" s="60"/>
      <c r="D96" s="60"/>
      <c r="E96" s="60"/>
      <c r="F96" s="60"/>
      <c r="G96" s="60"/>
      <c r="H96" s="60"/>
      <c r="I96" s="60"/>
      <c r="J96" s="60"/>
      <c r="K96" s="60"/>
      <c r="L96" s="60"/>
      <c r="M96" s="60"/>
    </row>
    <row r="97" spans="1:13" ht="13.15">
      <c r="A97" s="60"/>
      <c r="B97" s="60"/>
      <c r="C97" s="60"/>
      <c r="D97" s="60"/>
      <c r="E97" s="60"/>
      <c r="F97" s="60"/>
      <c r="G97" s="60"/>
      <c r="H97" s="60"/>
      <c r="I97" s="60"/>
      <c r="J97" s="60"/>
      <c r="K97" s="60"/>
      <c r="L97" s="60"/>
      <c r="M97" s="60"/>
    </row>
    <row r="98" spans="1:13" ht="13.15">
      <c r="A98" s="60"/>
      <c r="B98" s="60"/>
      <c r="C98" s="60"/>
      <c r="D98" s="60"/>
      <c r="E98" s="60"/>
      <c r="F98" s="60"/>
      <c r="G98" s="60"/>
      <c r="H98" s="60"/>
      <c r="I98" s="60"/>
      <c r="J98" s="60"/>
      <c r="K98" s="60"/>
      <c r="L98" s="60"/>
      <c r="M98" s="60"/>
    </row>
    <row r="99" spans="1:13" ht="13.15">
      <c r="A99" s="60"/>
      <c r="B99" s="60"/>
      <c r="C99" s="60"/>
      <c r="D99" s="60"/>
      <c r="E99" s="60"/>
      <c r="F99" s="60"/>
      <c r="G99" s="60"/>
      <c r="H99" s="60"/>
      <c r="I99" s="60"/>
      <c r="J99" s="60"/>
      <c r="K99" s="60"/>
      <c r="L99" s="60"/>
      <c r="M99" s="60"/>
    </row>
  </sheetData>
  <mergeCells count="1">
    <mergeCell ref="A56:E5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6" tint="0.39997558519241921"/>
  </sheetPr>
  <dimension ref="A1:T48"/>
  <sheetViews>
    <sheetView zoomScaleNormal="100" workbookViewId="0">
      <pane ySplit="7" topLeftCell="A8" activePane="bottomLeft" state="frozen"/>
      <selection pane="bottomLeft" activeCell="B1" sqref="B1"/>
    </sheetView>
  </sheetViews>
  <sheetFormatPr defaultRowHeight="13.15"/>
  <cols>
    <col min="1" max="1" width="10.86328125" style="1" customWidth="1"/>
    <col min="2" max="2" width="4.3984375" style="1" bestFit="1" customWidth="1"/>
    <col min="3" max="3" width="9.59765625" style="1" customWidth="1"/>
    <col min="4" max="4" width="7.265625" style="1" bestFit="1" customWidth="1"/>
    <col min="5" max="5" width="4" style="1" bestFit="1" customWidth="1"/>
    <col min="6" max="6" width="9.59765625" style="1" bestFit="1" customWidth="1"/>
    <col min="7" max="7" width="7.86328125" style="1" customWidth="1"/>
    <col min="8" max="8" width="5.3984375" style="1" customWidth="1"/>
    <col min="9" max="9" width="10.1328125" style="1" customWidth="1"/>
    <col min="10" max="10" width="6.86328125" style="1" bestFit="1" customWidth="1"/>
    <col min="11" max="11" width="10.1328125" style="1" bestFit="1" customWidth="1"/>
    <col min="12" max="12" width="9.86328125" style="1" customWidth="1"/>
    <col min="13" max="13" width="5.59765625" style="1" bestFit="1" customWidth="1"/>
    <col min="14" max="14" width="6.265625" style="1" customWidth="1"/>
    <col min="15" max="15" width="10.3984375" style="1" customWidth="1"/>
    <col min="16" max="16" width="9.1328125" style="1"/>
    <col min="17" max="17" width="6.265625" style="1" customWidth="1"/>
    <col min="18" max="18" width="9.86328125" style="1" customWidth="1"/>
    <col min="19" max="19" width="7.1328125" style="1" customWidth="1"/>
    <col min="20" max="249" width="9.1328125" style="1"/>
    <col min="250" max="252" width="24.73046875" style="1" customWidth="1"/>
    <col min="253" max="505" width="9.1328125" style="1"/>
    <col min="506" max="508" width="24.73046875" style="1" customWidth="1"/>
    <col min="509" max="761" width="9.1328125" style="1"/>
    <col min="762" max="764" width="24.73046875" style="1" customWidth="1"/>
    <col min="765" max="1017" width="9.1328125" style="1"/>
    <col min="1018" max="1020" width="24.73046875" style="1" customWidth="1"/>
    <col min="1021" max="1273" width="9.1328125" style="1"/>
    <col min="1274" max="1276" width="24.73046875" style="1" customWidth="1"/>
    <col min="1277" max="1529" width="9.1328125" style="1"/>
    <col min="1530" max="1532" width="24.73046875" style="1" customWidth="1"/>
    <col min="1533" max="1785" width="9.1328125" style="1"/>
    <col min="1786" max="1788" width="24.73046875" style="1" customWidth="1"/>
    <col min="1789" max="2041" width="9.1328125" style="1"/>
    <col min="2042" max="2044" width="24.73046875" style="1" customWidth="1"/>
    <col min="2045" max="2297" width="9.1328125" style="1"/>
    <col min="2298" max="2300" width="24.73046875" style="1" customWidth="1"/>
    <col min="2301" max="2553" width="9.1328125" style="1"/>
    <col min="2554" max="2556" width="24.73046875" style="1" customWidth="1"/>
    <col min="2557" max="2809" width="9.1328125" style="1"/>
    <col min="2810" max="2812" width="24.73046875" style="1" customWidth="1"/>
    <col min="2813" max="3065" width="9.1328125" style="1"/>
    <col min="3066" max="3068" width="24.73046875" style="1" customWidth="1"/>
    <col min="3069" max="3321" width="9.1328125" style="1"/>
    <col min="3322" max="3324" width="24.73046875" style="1" customWidth="1"/>
    <col min="3325" max="3577" width="9.1328125" style="1"/>
    <col min="3578" max="3580" width="24.73046875" style="1" customWidth="1"/>
    <col min="3581" max="3833" width="9.1328125" style="1"/>
    <col min="3834" max="3836" width="24.73046875" style="1" customWidth="1"/>
    <col min="3837" max="4089" width="9.1328125" style="1"/>
    <col min="4090" max="4092" width="24.73046875" style="1" customWidth="1"/>
    <col min="4093" max="4345" width="9.1328125" style="1"/>
    <col min="4346" max="4348" width="24.73046875" style="1" customWidth="1"/>
    <col min="4349" max="4601" width="9.1328125" style="1"/>
    <col min="4602" max="4604" width="24.73046875" style="1" customWidth="1"/>
    <col min="4605" max="4857" width="9.1328125" style="1"/>
    <col min="4858" max="4860" width="24.73046875" style="1" customWidth="1"/>
    <col min="4861" max="5113" width="9.1328125" style="1"/>
    <col min="5114" max="5116" width="24.73046875" style="1" customWidth="1"/>
    <col min="5117" max="5369" width="9.1328125" style="1"/>
    <col min="5370" max="5372" width="24.73046875" style="1" customWidth="1"/>
    <col min="5373" max="5625" width="9.1328125" style="1"/>
    <col min="5626" max="5628" width="24.73046875" style="1" customWidth="1"/>
    <col min="5629" max="5881" width="9.1328125" style="1"/>
    <col min="5882" max="5884" width="24.73046875" style="1" customWidth="1"/>
    <col min="5885" max="6137" width="9.1328125" style="1"/>
    <col min="6138" max="6140" width="24.73046875" style="1" customWidth="1"/>
    <col min="6141" max="6393" width="9.1328125" style="1"/>
    <col min="6394" max="6396" width="24.73046875" style="1" customWidth="1"/>
    <col min="6397" max="6649" width="9.1328125" style="1"/>
    <col min="6650" max="6652" width="24.73046875" style="1" customWidth="1"/>
    <col min="6653" max="6905" width="9.1328125" style="1"/>
    <col min="6906" max="6908" width="24.73046875" style="1" customWidth="1"/>
    <col min="6909" max="7161" width="9.1328125" style="1"/>
    <col min="7162" max="7164" width="24.73046875" style="1" customWidth="1"/>
    <col min="7165" max="7417" width="9.1328125" style="1"/>
    <col min="7418" max="7420" width="24.73046875" style="1" customWidth="1"/>
    <col min="7421" max="7673" width="9.1328125" style="1"/>
    <col min="7674" max="7676" width="24.73046875" style="1" customWidth="1"/>
    <col min="7677" max="7929" width="9.1328125" style="1"/>
    <col min="7930" max="7932" width="24.73046875" style="1" customWidth="1"/>
    <col min="7933" max="8185" width="9.1328125" style="1"/>
    <col min="8186" max="8188" width="24.73046875" style="1" customWidth="1"/>
    <col min="8189" max="8441" width="9.1328125" style="1"/>
    <col min="8442" max="8444" width="24.73046875" style="1" customWidth="1"/>
    <col min="8445" max="8697" width="9.1328125" style="1"/>
    <col min="8698" max="8700" width="24.73046875" style="1" customWidth="1"/>
    <col min="8701" max="8953" width="9.1328125" style="1"/>
    <col min="8954" max="8956" width="24.73046875" style="1" customWidth="1"/>
    <col min="8957" max="9209" width="9.1328125" style="1"/>
    <col min="9210" max="9212" width="24.73046875" style="1" customWidth="1"/>
    <col min="9213" max="9465" width="9.1328125" style="1"/>
    <col min="9466" max="9468" width="24.73046875" style="1" customWidth="1"/>
    <col min="9469" max="9721" width="9.1328125" style="1"/>
    <col min="9722" max="9724" width="24.73046875" style="1" customWidth="1"/>
    <col min="9725" max="9977" width="9.1328125" style="1"/>
    <col min="9978" max="9980" width="24.73046875" style="1" customWidth="1"/>
    <col min="9981" max="10233" width="9.1328125" style="1"/>
    <col min="10234" max="10236" width="24.73046875" style="1" customWidth="1"/>
    <col min="10237" max="10489" width="9.1328125" style="1"/>
    <col min="10490" max="10492" width="24.73046875" style="1" customWidth="1"/>
    <col min="10493" max="10745" width="9.1328125" style="1"/>
    <col min="10746" max="10748" width="24.73046875" style="1" customWidth="1"/>
    <col min="10749" max="11001" width="9.1328125" style="1"/>
    <col min="11002" max="11004" width="24.73046875" style="1" customWidth="1"/>
    <col min="11005" max="11257" width="9.1328125" style="1"/>
    <col min="11258" max="11260" width="24.73046875" style="1" customWidth="1"/>
    <col min="11261" max="11513" width="9.1328125" style="1"/>
    <col min="11514" max="11516" width="24.73046875" style="1" customWidth="1"/>
    <col min="11517" max="11769" width="9.1328125" style="1"/>
    <col min="11770" max="11772" width="24.73046875" style="1" customWidth="1"/>
    <col min="11773" max="12025" width="9.1328125" style="1"/>
    <col min="12026" max="12028" width="24.73046875" style="1" customWidth="1"/>
    <col min="12029" max="12281" width="9.1328125" style="1"/>
    <col min="12282" max="12284" width="24.73046875" style="1" customWidth="1"/>
    <col min="12285" max="12537" width="9.1328125" style="1"/>
    <col min="12538" max="12540" width="24.73046875" style="1" customWidth="1"/>
    <col min="12541" max="12793" width="9.1328125" style="1"/>
    <col min="12794" max="12796" width="24.73046875" style="1" customWidth="1"/>
    <col min="12797" max="13049" width="9.1328125" style="1"/>
    <col min="13050" max="13052" width="24.73046875" style="1" customWidth="1"/>
    <col min="13053" max="13305" width="9.1328125" style="1"/>
    <col min="13306" max="13308" width="24.73046875" style="1" customWidth="1"/>
    <col min="13309" max="13561" width="9.1328125" style="1"/>
    <col min="13562" max="13564" width="24.73046875" style="1" customWidth="1"/>
    <col min="13565" max="13817" width="9.1328125" style="1"/>
    <col min="13818" max="13820" width="24.73046875" style="1" customWidth="1"/>
    <col min="13821" max="14073" width="9.1328125" style="1"/>
    <col min="14074" max="14076" width="24.73046875" style="1" customWidth="1"/>
    <col min="14077" max="14329" width="9.1328125" style="1"/>
    <col min="14330" max="14332" width="24.73046875" style="1" customWidth="1"/>
    <col min="14333" max="14585" width="9.1328125" style="1"/>
    <col min="14586" max="14588" width="24.73046875" style="1" customWidth="1"/>
    <col min="14589" max="14841" width="9.1328125" style="1"/>
    <col min="14842" max="14844" width="24.73046875" style="1" customWidth="1"/>
    <col min="14845" max="15097" width="9.1328125" style="1"/>
    <col min="15098" max="15100" width="24.73046875" style="1" customWidth="1"/>
    <col min="15101" max="15353" width="9.1328125" style="1"/>
    <col min="15354" max="15356" width="24.73046875" style="1" customWidth="1"/>
    <col min="15357" max="15609" width="9.1328125" style="1"/>
    <col min="15610" max="15612" width="24.73046875" style="1" customWidth="1"/>
    <col min="15613" max="15865" width="9.1328125" style="1"/>
    <col min="15866" max="15868" width="24.73046875" style="1" customWidth="1"/>
    <col min="15869" max="16121" width="9.1328125" style="1"/>
    <col min="16122" max="16124" width="24.73046875" style="1" customWidth="1"/>
    <col min="16125" max="16384" width="9.1328125" style="1"/>
  </cols>
  <sheetData>
    <row r="1" spans="1:20">
      <c r="A1" s="524" t="str">
        <f>IF(språk=lista[[#Headers],[Svenska]],"Innehåll",IF(språk=lista[[#Headers],[English]],"Contents","FEL"))</f>
        <v>Contents</v>
      </c>
    </row>
    <row r="2" spans="1:20" hidden="1">
      <c r="D2" s="1" t="s">
        <v>858</v>
      </c>
      <c r="E2" s="1" t="s">
        <v>859</v>
      </c>
      <c r="F2" s="1" t="s">
        <v>860</v>
      </c>
    </row>
    <row r="3" spans="1:20" ht="15.75">
      <c r="A3" s="437" t="str">
        <f>IFERROR(INDEX(lista[],MATCH($A6,lista[ID],0),MATCH(språk,lista[#Headers],0)),"")</f>
        <v>Energy use for heating and hot water in dwellings and non-residential premises, from 1983, TWh</v>
      </c>
      <c r="B3" s="437"/>
      <c r="C3" s="437"/>
      <c r="D3" s="437"/>
      <c r="E3" s="437"/>
    </row>
    <row r="4" spans="1:20">
      <c r="B4" s="447"/>
      <c r="C4" s="447"/>
      <c r="D4" s="447"/>
      <c r="E4" s="447"/>
      <c r="F4" s="447"/>
      <c r="G4" s="447"/>
    </row>
    <row r="5" spans="1:20" s="447" customFormat="1" ht="14.25">
      <c r="B5" s="1051" t="str">
        <f>IFERROR(INDEX(_3.4[],MATCH(språk,_3.4[[id]:[id]],0),MATCH(D$2,_3.4[#Headers],0)),"")</f>
        <v>One- and two-dwelling buildings</v>
      </c>
      <c r="C5" s="1051"/>
      <c r="D5" s="1051"/>
      <c r="E5" s="1051"/>
      <c r="F5" s="1051"/>
      <c r="G5" s="1051"/>
      <c r="H5" s="1052" t="str">
        <f>IFERROR(INDEX(_3.4[],MATCH(språk,_3.4[[id]:[id]],0),MATCH(E$2,_3.4[#Headers],0)),"")</f>
        <v>Multi-dwelling buildings</v>
      </c>
      <c r="I5" s="1053"/>
      <c r="J5" s="1053"/>
      <c r="K5" s="1053"/>
      <c r="L5" s="1053"/>
      <c r="M5" s="1053"/>
      <c r="N5" s="1052" t="str">
        <f>IFERROR(INDEX(_3.4[],MATCH(språk,_3.4[[id]:[id]],0),MATCH(F$2,_3.4[#Headers],0)),"")</f>
        <v>Non-residential premises</v>
      </c>
      <c r="O5" s="1053"/>
      <c r="P5" s="1053"/>
      <c r="Q5" s="1053"/>
      <c r="R5" s="1053"/>
      <c r="S5" s="1053"/>
    </row>
    <row r="6" spans="1:20" ht="15.75" hidden="1">
      <c r="A6" s="265">
        <v>17</v>
      </c>
      <c r="B6" s="1" t="s">
        <v>647</v>
      </c>
      <c r="C6" s="1" t="s">
        <v>648</v>
      </c>
      <c r="D6" s="1" t="s">
        <v>649</v>
      </c>
      <c r="E6" s="1" t="s">
        <v>650</v>
      </c>
      <c r="F6" s="1" t="s">
        <v>651</v>
      </c>
      <c r="G6" s="1" t="s">
        <v>652</v>
      </c>
      <c r="H6" s="1" t="s">
        <v>653</v>
      </c>
      <c r="I6" s="1" t="s">
        <v>654</v>
      </c>
      <c r="J6" s="1" t="s">
        <v>655</v>
      </c>
      <c r="K6" s="1" t="s">
        <v>656</v>
      </c>
      <c r="L6" s="1" t="s">
        <v>657</v>
      </c>
      <c r="M6" s="1" t="s">
        <v>658</v>
      </c>
      <c r="N6" s="1" t="s">
        <v>660</v>
      </c>
      <c r="O6" s="1" t="s">
        <v>661</v>
      </c>
      <c r="P6" s="1" t="s">
        <v>662</v>
      </c>
      <c r="Q6" s="1" t="s">
        <v>663</v>
      </c>
      <c r="R6" s="1" t="s">
        <v>664</v>
      </c>
      <c r="S6" s="1" t="s">
        <v>665</v>
      </c>
      <c r="T6" s="522"/>
    </row>
    <row r="7" spans="1:20" ht="39.4">
      <c r="A7" s="585"/>
      <c r="B7" s="57" t="str">
        <f>IFERROR(INDEX(_3.4[],MATCH(språk,_3.4[[id]:[id]],0),MATCH(B$6,_3.4[#Headers],0)),"")</f>
        <v>Oil</v>
      </c>
      <c r="C7" s="57" t="str">
        <f>IFERROR(INDEX(_3.4[],MATCH(språk,_3.4[[id]:[id]],0),MATCH(C$6,_3.4[#Headers],0)),"")</f>
        <v>District heating</v>
      </c>
      <c r="D7" s="57" t="str">
        <f>IFERROR(INDEX(_3.4[],MATCH(språk,_3.4[[id]:[id]],0),MATCH(D$6,_3.4[#Headers],0)),"")</f>
        <v>Electric heating</v>
      </c>
      <c r="E7" s="57" t="str">
        <f>IFERROR(INDEX(_3.4[],MATCH(språk,_3.4[[id]:[id]],0),MATCH(E$6,_3.4[#Headers],0)),"")</f>
        <v>Natural gas</v>
      </c>
      <c r="F7" s="57" t="str">
        <f>IFERROR(INDEX(_3.4[],MATCH(språk,_3.4[[id]:[id]],0),MATCH(F$6,_3.4[#Headers],0)),"")</f>
        <v>Biomass</v>
      </c>
      <c r="G7" s="57" t="str">
        <f>IFERROR(INDEX(_3.4[],MATCH(språk,_3.4[[id]:[id]],0),MATCH(G$6,_3.4[#Headers],0)),"")</f>
        <v>Total</v>
      </c>
      <c r="H7" s="57" t="str">
        <f>IFERROR(INDEX(_3.4[],MATCH(språk,_3.4[[id]:[id]],0),MATCH(H$6,_3.4[#Headers],0)),"")</f>
        <v>Oil</v>
      </c>
      <c r="I7" s="57" t="str">
        <f>IFERROR(INDEX(_3.4[],MATCH(språk,_3.4[[id]:[id]],0),MATCH(I$6,_3.4[#Headers],0)),"")</f>
        <v>District heating</v>
      </c>
      <c r="J7" s="57" t="str">
        <f>IFERROR(INDEX(_3.4[],MATCH(språk,_3.4[[id]:[id]],0),MATCH(J$6,_3.4[#Headers],0)),"")</f>
        <v>Electric heating</v>
      </c>
      <c r="K7" s="57" t="str">
        <f>IFERROR(INDEX(_3.4[],MATCH(språk,_3.4[[id]:[id]],0),MATCH(K$6,_3.4[#Headers],0)),"")</f>
        <v>Natural gas</v>
      </c>
      <c r="L7" s="57" t="str">
        <f>IFERROR(INDEX(_3.4[],MATCH(språk,_3.4[[id]:[id]],0),MATCH(L$6,_3.4[#Headers],0)),"")</f>
        <v>Biomass</v>
      </c>
      <c r="M7" s="57" t="str">
        <f>IFERROR(INDEX(_3.4[],MATCH(språk,_3.4[[id]:[id]],0),MATCH(M$6,_3.4[#Headers],0)),"")</f>
        <v>Total</v>
      </c>
      <c r="N7" s="57" t="str">
        <f>IFERROR(INDEX(_3.4[],MATCH(språk,_3.4[[id]:[id]],0),MATCH(N$6,_3.4[#Headers],0)),"")</f>
        <v>Oil</v>
      </c>
      <c r="O7" s="57" t="str">
        <f>IFERROR(INDEX(_3.4[],MATCH(språk,_3.4[[id]:[id]],0),MATCH(O$6,_3.4[#Headers],0)),"")</f>
        <v>District heating</v>
      </c>
      <c r="P7" s="57" t="str">
        <f>IFERROR(INDEX(_3.4[],MATCH(språk,_3.4[[id]:[id]],0),MATCH(P$6,_3.4[#Headers],0)),"")</f>
        <v>Electric heating</v>
      </c>
      <c r="Q7" s="57" t="str">
        <f>IFERROR(INDEX(_3.4[],MATCH(språk,_3.4[[id]:[id]],0),MATCH(Q$6,_3.4[#Headers],0)),"")</f>
        <v>Natural gas</v>
      </c>
      <c r="R7" s="57" t="str">
        <f>IFERROR(INDEX(_3.4[],MATCH(språk,_3.4[[id]:[id]],0),MATCH(R$6,_3.4[#Headers],0)),"")</f>
        <v>Biomass</v>
      </c>
      <c r="S7" s="57" t="str">
        <f>IFERROR(INDEX(_3.4[],MATCH(språk,_3.4[[id]:[id]],0),MATCH(S$6,_3.4[#Headers],0)),"")</f>
        <v>Total</v>
      </c>
    </row>
    <row r="8" spans="1:20" ht="15.95" customHeight="1">
      <c r="A8" s="753">
        <v>1983</v>
      </c>
      <c r="B8" s="754">
        <v>17</v>
      </c>
      <c r="C8" s="754">
        <v>1.7</v>
      </c>
      <c r="D8" s="754">
        <v>15.099999999999994</v>
      </c>
      <c r="E8" s="754">
        <v>0.187</v>
      </c>
      <c r="F8" s="754">
        <v>8.8000000000000007</v>
      </c>
      <c r="G8" s="755">
        <v>42.786999999999992</v>
      </c>
      <c r="H8" s="756">
        <v>15.799999999999999</v>
      </c>
      <c r="I8" s="754">
        <v>15.599999999999998</v>
      </c>
      <c r="J8" s="754">
        <v>1.2</v>
      </c>
      <c r="K8" s="754">
        <v>0.19</v>
      </c>
      <c r="L8" s="754"/>
      <c r="M8" s="755">
        <v>32.79</v>
      </c>
      <c r="N8" s="756">
        <v>14.100000000000001</v>
      </c>
      <c r="O8" s="754">
        <v>8.3000000000000007</v>
      </c>
      <c r="P8" s="754">
        <v>3</v>
      </c>
      <c r="Q8" s="754">
        <v>0</v>
      </c>
      <c r="R8" s="754"/>
      <c r="S8" s="755">
        <v>25.400000000000002</v>
      </c>
    </row>
    <row r="9" spans="1:20" ht="15.95" customHeight="1">
      <c r="A9" s="586">
        <v>1984</v>
      </c>
      <c r="B9" s="587">
        <v>14.799999999999999</v>
      </c>
      <c r="C9" s="587">
        <v>1.8</v>
      </c>
      <c r="D9" s="587">
        <v>17.3</v>
      </c>
      <c r="E9" s="587">
        <v>0.155</v>
      </c>
      <c r="F9" s="587">
        <v>9.6</v>
      </c>
      <c r="G9" s="588">
        <v>43.655000000000001</v>
      </c>
      <c r="H9" s="589">
        <v>13.2</v>
      </c>
      <c r="I9" s="587">
        <v>16.399999999999999</v>
      </c>
      <c r="J9" s="587">
        <v>1.5</v>
      </c>
      <c r="K9" s="587">
        <v>0.16</v>
      </c>
      <c r="L9" s="587"/>
      <c r="M9" s="588">
        <v>31.259999999999998</v>
      </c>
      <c r="N9" s="589">
        <v>12.5</v>
      </c>
      <c r="O9" s="587">
        <v>9.2000000000000011</v>
      </c>
      <c r="P9" s="587">
        <v>3.2</v>
      </c>
      <c r="Q9" s="587">
        <v>0</v>
      </c>
      <c r="R9" s="587"/>
      <c r="S9" s="588">
        <v>24.900000000000002</v>
      </c>
    </row>
    <row r="10" spans="1:20" ht="15.95" customHeight="1">
      <c r="A10" s="753">
        <v>1985</v>
      </c>
      <c r="B10" s="754">
        <v>13.500000000000002</v>
      </c>
      <c r="C10" s="754">
        <v>2.1</v>
      </c>
      <c r="D10" s="754">
        <v>20.000000000000004</v>
      </c>
      <c r="E10" s="754">
        <v>0.18200000000000002</v>
      </c>
      <c r="F10" s="754">
        <v>10.9</v>
      </c>
      <c r="G10" s="755">
        <v>46.682000000000009</v>
      </c>
      <c r="H10" s="756">
        <v>13</v>
      </c>
      <c r="I10" s="754">
        <v>19.5</v>
      </c>
      <c r="J10" s="754">
        <v>1.9</v>
      </c>
      <c r="K10" s="754">
        <v>0.155</v>
      </c>
      <c r="L10" s="754"/>
      <c r="M10" s="755">
        <v>34.555</v>
      </c>
      <c r="N10" s="756">
        <v>12.4</v>
      </c>
      <c r="O10" s="754">
        <v>10.700000000000001</v>
      </c>
      <c r="P10" s="754">
        <v>3.6</v>
      </c>
      <c r="Q10" s="754">
        <v>5.4711085401459851E-2</v>
      </c>
      <c r="R10" s="754"/>
      <c r="S10" s="755">
        <v>26.754711085401464</v>
      </c>
    </row>
    <row r="11" spans="1:20" ht="15.95" customHeight="1">
      <c r="A11" s="586">
        <v>1986</v>
      </c>
      <c r="B11" s="587">
        <v>13.6</v>
      </c>
      <c r="C11" s="587">
        <v>2.1</v>
      </c>
      <c r="D11" s="587">
        <v>19.7</v>
      </c>
      <c r="E11" s="587">
        <v>0.18</v>
      </c>
      <c r="F11" s="587">
        <v>10.1</v>
      </c>
      <c r="G11" s="588">
        <v>45.68</v>
      </c>
      <c r="H11" s="589">
        <v>11.2</v>
      </c>
      <c r="I11" s="587">
        <v>19.700000000000003</v>
      </c>
      <c r="J11" s="587">
        <v>2.2000000000000002</v>
      </c>
      <c r="K11" s="587">
        <v>0.26</v>
      </c>
      <c r="L11" s="587"/>
      <c r="M11" s="588">
        <v>33.36</v>
      </c>
      <c r="N11" s="589">
        <v>9.4</v>
      </c>
      <c r="O11" s="587">
        <v>11.4</v>
      </c>
      <c r="P11" s="587">
        <v>4.4000000000000004</v>
      </c>
      <c r="Q11" s="587">
        <v>0.22044620610687021</v>
      </c>
      <c r="R11" s="587"/>
      <c r="S11" s="588">
        <v>25.420446206106874</v>
      </c>
    </row>
    <row r="12" spans="1:20" ht="15.95" customHeight="1">
      <c r="A12" s="753">
        <v>1987</v>
      </c>
      <c r="B12" s="754">
        <v>15.9</v>
      </c>
      <c r="C12" s="754">
        <v>2.1</v>
      </c>
      <c r="D12" s="754">
        <v>21.3</v>
      </c>
      <c r="E12" s="754">
        <v>0.18</v>
      </c>
      <c r="F12" s="754">
        <v>9.4</v>
      </c>
      <c r="G12" s="755">
        <v>48.879999999999995</v>
      </c>
      <c r="H12" s="756">
        <v>11</v>
      </c>
      <c r="I12" s="754">
        <v>21.7</v>
      </c>
      <c r="J12" s="754">
        <v>2.2999999999999998</v>
      </c>
      <c r="K12" s="754">
        <v>0.33999999999999997</v>
      </c>
      <c r="L12" s="754"/>
      <c r="M12" s="755">
        <v>35.340000000000003</v>
      </c>
      <c r="N12" s="756">
        <v>11.2</v>
      </c>
      <c r="O12" s="754">
        <v>11.6</v>
      </c>
      <c r="P12" s="754">
        <v>4.8000000000000007</v>
      </c>
      <c r="Q12" s="754">
        <v>0.39079346715328467</v>
      </c>
      <c r="R12" s="754"/>
      <c r="S12" s="755">
        <v>27.990793467153281</v>
      </c>
    </row>
    <row r="13" spans="1:20" ht="15.95" customHeight="1">
      <c r="A13" s="586">
        <v>1988</v>
      </c>
      <c r="B13" s="587">
        <v>15.2</v>
      </c>
      <c r="C13" s="587">
        <v>2.1</v>
      </c>
      <c r="D13" s="587">
        <v>19.799999999999997</v>
      </c>
      <c r="E13" s="587">
        <v>0.18</v>
      </c>
      <c r="F13" s="587">
        <v>8.8569999999999993</v>
      </c>
      <c r="G13" s="588">
        <v>46.136999999999993</v>
      </c>
      <c r="H13" s="589">
        <v>8.0000000000000018</v>
      </c>
      <c r="I13" s="587">
        <v>18.900000000000002</v>
      </c>
      <c r="J13" s="587">
        <v>2.2000000000000002</v>
      </c>
      <c r="K13" s="587">
        <v>0.375</v>
      </c>
      <c r="L13" s="587"/>
      <c r="M13" s="588">
        <v>29.475000000000005</v>
      </c>
      <c r="N13" s="589">
        <v>9.1000000000000014</v>
      </c>
      <c r="O13" s="587">
        <v>11</v>
      </c>
      <c r="P13" s="587">
        <v>4.2</v>
      </c>
      <c r="Q13" s="587">
        <v>0.39716134503816791</v>
      </c>
      <c r="R13" s="587"/>
      <c r="S13" s="588">
        <v>24.697161345038168</v>
      </c>
    </row>
    <row r="14" spans="1:20" ht="15.95" customHeight="1">
      <c r="A14" s="753">
        <v>1989</v>
      </c>
      <c r="B14" s="754">
        <v>14.799999999999999</v>
      </c>
      <c r="C14" s="754">
        <v>2</v>
      </c>
      <c r="D14" s="754">
        <v>17.600000000000001</v>
      </c>
      <c r="E14" s="754">
        <v>0.19</v>
      </c>
      <c r="F14" s="754">
        <v>9</v>
      </c>
      <c r="G14" s="755">
        <v>43.589999999999996</v>
      </c>
      <c r="H14" s="756">
        <v>6.8</v>
      </c>
      <c r="I14" s="754">
        <v>17.8</v>
      </c>
      <c r="J14" s="754">
        <v>1.9000000000000001</v>
      </c>
      <c r="K14" s="754">
        <v>0.38</v>
      </c>
      <c r="L14" s="754"/>
      <c r="M14" s="755">
        <v>26.88</v>
      </c>
      <c r="N14" s="756">
        <v>8.7000000000000011</v>
      </c>
      <c r="O14" s="754">
        <v>9.7999999999999972</v>
      </c>
      <c r="P14" s="754">
        <v>4.1000000000000005</v>
      </c>
      <c r="Q14" s="754">
        <v>0.50065405620437953</v>
      </c>
      <c r="R14" s="754"/>
      <c r="S14" s="755">
        <v>23.10065405620438</v>
      </c>
    </row>
    <row r="15" spans="1:20" ht="15.95" customHeight="1">
      <c r="A15" s="586">
        <v>1990</v>
      </c>
      <c r="B15" s="587">
        <v>15</v>
      </c>
      <c r="C15" s="587">
        <v>2.1</v>
      </c>
      <c r="D15" s="587">
        <v>17.900000000000002</v>
      </c>
      <c r="E15" s="587">
        <v>0.2</v>
      </c>
      <c r="F15" s="587">
        <v>10</v>
      </c>
      <c r="G15" s="588">
        <v>45.2</v>
      </c>
      <c r="H15" s="589">
        <v>6.7</v>
      </c>
      <c r="I15" s="587">
        <v>16.999999999999996</v>
      </c>
      <c r="J15" s="587">
        <v>1.9</v>
      </c>
      <c r="K15" s="587">
        <v>0.42</v>
      </c>
      <c r="L15" s="587"/>
      <c r="M15" s="588">
        <v>26.019999999999996</v>
      </c>
      <c r="N15" s="589">
        <v>9.2000000000000011</v>
      </c>
      <c r="O15" s="587">
        <v>11.4</v>
      </c>
      <c r="P15" s="587">
        <v>6</v>
      </c>
      <c r="Q15" s="587">
        <v>0.58202915572519065</v>
      </c>
      <c r="R15" s="587"/>
      <c r="S15" s="588">
        <v>27.182029155725193</v>
      </c>
    </row>
    <row r="16" spans="1:20" ht="15.95" customHeight="1">
      <c r="A16" s="753">
        <v>1991</v>
      </c>
      <c r="B16" s="754">
        <v>14.4</v>
      </c>
      <c r="C16" s="754">
        <v>2.2000000000000002</v>
      </c>
      <c r="D16" s="754">
        <v>18.899999999999995</v>
      </c>
      <c r="E16" s="754">
        <v>0.23</v>
      </c>
      <c r="F16" s="754">
        <v>10.199999999999999</v>
      </c>
      <c r="G16" s="755">
        <v>45.929999999999993</v>
      </c>
      <c r="H16" s="756">
        <v>7</v>
      </c>
      <c r="I16" s="754">
        <v>19.100000000000001</v>
      </c>
      <c r="J16" s="754">
        <v>2</v>
      </c>
      <c r="K16" s="754">
        <v>0.56299999999999994</v>
      </c>
      <c r="L16" s="754"/>
      <c r="M16" s="755">
        <v>28.663</v>
      </c>
      <c r="N16" s="756">
        <v>7.2000000000000011</v>
      </c>
      <c r="O16" s="754">
        <v>13.100000000000003</v>
      </c>
      <c r="P16" s="754">
        <v>5.5</v>
      </c>
      <c r="Q16" s="754">
        <v>0.74241386277372257</v>
      </c>
      <c r="R16" s="754"/>
      <c r="S16" s="755">
        <v>26.542413862773728</v>
      </c>
    </row>
    <row r="17" spans="1:19" ht="15.95" customHeight="1">
      <c r="A17" s="586">
        <v>1992</v>
      </c>
      <c r="B17" s="587">
        <v>14.1</v>
      </c>
      <c r="C17" s="587">
        <v>2.2999999999999998</v>
      </c>
      <c r="D17" s="587">
        <v>18.399999999999995</v>
      </c>
      <c r="E17" s="587">
        <v>0.25900000000000001</v>
      </c>
      <c r="F17" s="587">
        <v>10.255000000000001</v>
      </c>
      <c r="G17" s="588">
        <v>45.314</v>
      </c>
      <c r="H17" s="589">
        <v>6.4</v>
      </c>
      <c r="I17" s="587">
        <v>18.899999999999999</v>
      </c>
      <c r="J17" s="587">
        <v>1.7000000000000002</v>
      </c>
      <c r="K17" s="587">
        <v>0.56499999999999995</v>
      </c>
      <c r="L17" s="587"/>
      <c r="M17" s="588">
        <v>27.564999999999998</v>
      </c>
      <c r="N17" s="589">
        <v>6.6999999999999993</v>
      </c>
      <c r="O17" s="587">
        <v>12.7</v>
      </c>
      <c r="P17" s="587">
        <v>6.2</v>
      </c>
      <c r="Q17" s="587">
        <v>0.72059047022900746</v>
      </c>
      <c r="R17" s="587"/>
      <c r="S17" s="588">
        <v>26.320590470229007</v>
      </c>
    </row>
    <row r="18" spans="1:19" ht="15.95" customHeight="1">
      <c r="A18" s="753">
        <v>1993</v>
      </c>
      <c r="B18" s="754">
        <v>13.7</v>
      </c>
      <c r="C18" s="754">
        <v>2.4</v>
      </c>
      <c r="D18" s="754">
        <v>18.2</v>
      </c>
      <c r="E18" s="754">
        <v>0.3</v>
      </c>
      <c r="F18" s="754">
        <v>10.863</v>
      </c>
      <c r="G18" s="755">
        <v>45.462999999999994</v>
      </c>
      <c r="H18" s="756">
        <v>6.6000000000000005</v>
      </c>
      <c r="I18" s="754">
        <v>21</v>
      </c>
      <c r="J18" s="754">
        <v>2</v>
      </c>
      <c r="K18" s="754">
        <v>0.61</v>
      </c>
      <c r="L18" s="754"/>
      <c r="M18" s="755">
        <v>30.21</v>
      </c>
      <c r="N18" s="756">
        <v>6.7</v>
      </c>
      <c r="O18" s="754">
        <v>13.255999999999998</v>
      </c>
      <c r="P18" s="754">
        <v>6.3</v>
      </c>
      <c r="Q18" s="754">
        <v>0.90713671094890513</v>
      </c>
      <c r="R18" s="754"/>
      <c r="S18" s="755">
        <v>27.163136710948905</v>
      </c>
    </row>
    <row r="19" spans="1:19" ht="15.95" customHeight="1">
      <c r="A19" s="586">
        <v>1994</v>
      </c>
      <c r="B19" s="587">
        <v>13.96</v>
      </c>
      <c r="C19" s="587">
        <v>2.6</v>
      </c>
      <c r="D19" s="587">
        <v>18.399999999999999</v>
      </c>
      <c r="E19" s="587">
        <v>0.29649999999999999</v>
      </c>
      <c r="F19" s="587">
        <v>10.40888</v>
      </c>
      <c r="G19" s="588">
        <v>45.665379999999999</v>
      </c>
      <c r="H19" s="589">
        <v>6.822000000000001</v>
      </c>
      <c r="I19" s="587">
        <v>20.5</v>
      </c>
      <c r="J19" s="587">
        <v>1.7000000000000002</v>
      </c>
      <c r="K19" s="587">
        <v>0.68659999999999999</v>
      </c>
      <c r="L19" s="587"/>
      <c r="M19" s="588">
        <v>29.708600000000001</v>
      </c>
      <c r="N19" s="589">
        <v>6.4480000000000004</v>
      </c>
      <c r="O19" s="587">
        <v>13.291</v>
      </c>
      <c r="P19" s="587">
        <v>5.9590000000000014</v>
      </c>
      <c r="Q19" s="587">
        <v>0.80095454885496176</v>
      </c>
      <c r="R19" s="587"/>
      <c r="S19" s="588">
        <v>26.498954548854961</v>
      </c>
    </row>
    <row r="20" spans="1:19" ht="15.95" customHeight="1">
      <c r="A20" s="753">
        <v>1995</v>
      </c>
      <c r="B20" s="754">
        <v>13.860000000000001</v>
      </c>
      <c r="C20" s="754">
        <v>2.395</v>
      </c>
      <c r="D20" s="754">
        <v>17.899999999999995</v>
      </c>
      <c r="E20" s="754">
        <v>0.28320000000000001</v>
      </c>
      <c r="F20" s="754">
        <v>11.148540000000001</v>
      </c>
      <c r="G20" s="755">
        <v>45.586740000000006</v>
      </c>
      <c r="H20" s="756">
        <v>6.2</v>
      </c>
      <c r="I20" s="754">
        <v>20.600000000000005</v>
      </c>
      <c r="J20" s="754">
        <v>2.4289999999999998</v>
      </c>
      <c r="K20" s="754">
        <v>0.76829999999999998</v>
      </c>
      <c r="L20" s="754"/>
      <c r="M20" s="755">
        <v>29.997300000000003</v>
      </c>
      <c r="N20" s="756">
        <v>5.1800000000000015</v>
      </c>
      <c r="O20" s="754">
        <v>14.899999999999999</v>
      </c>
      <c r="P20" s="754">
        <v>4.9930000000000012</v>
      </c>
      <c r="Q20" s="754">
        <v>0.93008845182481747</v>
      </c>
      <c r="R20" s="754"/>
      <c r="S20" s="755">
        <v>26.003088451824819</v>
      </c>
    </row>
    <row r="21" spans="1:19" ht="15.95" customHeight="1">
      <c r="A21" s="586">
        <v>1996</v>
      </c>
      <c r="B21" s="587">
        <v>14.2</v>
      </c>
      <c r="C21" s="587">
        <v>2.69</v>
      </c>
      <c r="D21" s="587">
        <v>19.396999999999998</v>
      </c>
      <c r="E21" s="587">
        <v>0.30930000000000002</v>
      </c>
      <c r="F21" s="587">
        <v>11.208360000000001</v>
      </c>
      <c r="G21" s="588">
        <v>47.804659999999998</v>
      </c>
      <c r="H21" s="589">
        <v>5.6999999999999993</v>
      </c>
      <c r="I21" s="587">
        <v>21.9</v>
      </c>
      <c r="J21" s="587">
        <v>2.1999999999999997</v>
      </c>
      <c r="K21" s="587">
        <v>0.79760000000000009</v>
      </c>
      <c r="L21" s="587"/>
      <c r="M21" s="588">
        <v>30.597599999999996</v>
      </c>
      <c r="N21" s="589">
        <v>5.9</v>
      </c>
      <c r="O21" s="587">
        <v>15.599999999999998</v>
      </c>
      <c r="P21" s="587">
        <v>5.7000000000000011</v>
      </c>
      <c r="Q21" s="587">
        <v>0.94057047938931282</v>
      </c>
      <c r="R21" s="587"/>
      <c r="S21" s="588">
        <v>28.140570479389314</v>
      </c>
    </row>
    <row r="22" spans="1:19" ht="15.95" customHeight="1">
      <c r="A22" s="753">
        <v>1997</v>
      </c>
      <c r="B22" s="754">
        <v>12.499999999999998</v>
      </c>
      <c r="C22" s="754">
        <v>2.5259999999999998</v>
      </c>
      <c r="D22" s="754">
        <v>19.499999999999996</v>
      </c>
      <c r="E22" s="754">
        <v>0.30517064000000005</v>
      </c>
      <c r="F22" s="754">
        <v>10.31731744</v>
      </c>
      <c r="G22" s="755">
        <v>45.148488079999993</v>
      </c>
      <c r="H22" s="756">
        <v>4.9000000000000004</v>
      </c>
      <c r="I22" s="754">
        <v>21.8</v>
      </c>
      <c r="J22" s="754">
        <v>2.1999999999999997</v>
      </c>
      <c r="K22" s="754">
        <v>0.69007908000000007</v>
      </c>
      <c r="L22" s="754"/>
      <c r="M22" s="755">
        <v>29.590079080000002</v>
      </c>
      <c r="N22" s="756">
        <v>5</v>
      </c>
      <c r="O22" s="754">
        <v>14.5</v>
      </c>
      <c r="P22" s="754">
        <v>4.4000000000000012</v>
      </c>
      <c r="Q22" s="754">
        <v>0.96135192919708035</v>
      </c>
      <c r="R22" s="754"/>
      <c r="S22" s="755">
        <v>24.861351929197081</v>
      </c>
    </row>
    <row r="23" spans="1:19" ht="15.95" customHeight="1">
      <c r="A23" s="586">
        <v>1998</v>
      </c>
      <c r="B23" s="587">
        <v>13.6</v>
      </c>
      <c r="C23" s="587">
        <v>2.7349999999999999</v>
      </c>
      <c r="D23" s="587">
        <v>18</v>
      </c>
      <c r="E23" s="587">
        <v>0.30030006800000003</v>
      </c>
      <c r="F23" s="587">
        <v>9.7890747999999999</v>
      </c>
      <c r="G23" s="588">
        <v>44.424374868000001</v>
      </c>
      <c r="H23" s="589">
        <v>4.7</v>
      </c>
      <c r="I23" s="587">
        <v>22.7</v>
      </c>
      <c r="J23" s="587">
        <v>1.8</v>
      </c>
      <c r="K23" s="587">
        <v>0.97091035999999997</v>
      </c>
      <c r="L23" s="587"/>
      <c r="M23" s="588">
        <v>30.170910360000001</v>
      </c>
      <c r="N23" s="589">
        <v>4.8000000000000007</v>
      </c>
      <c r="O23" s="587">
        <v>14.799999999999999</v>
      </c>
      <c r="P23" s="587">
        <v>4.1000000000000005</v>
      </c>
      <c r="Q23" s="587">
        <v>0.96261509999999995</v>
      </c>
      <c r="R23" s="587"/>
      <c r="S23" s="588">
        <v>24.662615100000004</v>
      </c>
    </row>
    <row r="24" spans="1:19" ht="15.95" customHeight="1">
      <c r="A24" s="753">
        <v>1999</v>
      </c>
      <c r="B24" s="754">
        <v>12.5</v>
      </c>
      <c r="C24" s="754">
        <v>2.694</v>
      </c>
      <c r="D24" s="754">
        <v>16.100000000000005</v>
      </c>
      <c r="E24" s="754">
        <v>0.25737403999999997</v>
      </c>
      <c r="F24" s="754">
        <v>9.6479999999999997</v>
      </c>
      <c r="G24" s="755">
        <v>41.199374040000002</v>
      </c>
      <c r="H24" s="756">
        <v>3.8</v>
      </c>
      <c r="I24" s="754">
        <v>21.900000000000002</v>
      </c>
      <c r="J24" s="754">
        <v>1.7</v>
      </c>
      <c r="K24" s="754">
        <v>1.0957432199999999</v>
      </c>
      <c r="L24" s="754"/>
      <c r="M24" s="755">
        <v>28.495743220000001</v>
      </c>
      <c r="N24" s="756">
        <v>4.8000000000000007</v>
      </c>
      <c r="O24" s="754">
        <v>14.899999999999999</v>
      </c>
      <c r="P24" s="754">
        <v>3.7</v>
      </c>
      <c r="Q24" s="754">
        <v>0.96227999999999991</v>
      </c>
      <c r="R24" s="754"/>
      <c r="S24" s="755">
        <v>24.362279999999998</v>
      </c>
    </row>
    <row r="25" spans="1:19" ht="15.95" customHeight="1">
      <c r="A25" s="586">
        <v>2000</v>
      </c>
      <c r="B25" s="587">
        <v>11.358929999999999</v>
      </c>
      <c r="C25" s="587">
        <v>2.6</v>
      </c>
      <c r="D25" s="587">
        <v>14.9</v>
      </c>
      <c r="E25" s="587">
        <v>0.26084020000000002</v>
      </c>
      <c r="F25" s="587">
        <v>9.66</v>
      </c>
      <c r="G25" s="588">
        <v>38.779770200000002</v>
      </c>
      <c r="H25" s="589">
        <v>3.4</v>
      </c>
      <c r="I25" s="587">
        <v>21.5</v>
      </c>
      <c r="J25" s="587">
        <v>1.8</v>
      </c>
      <c r="K25" s="587">
        <v>0.92772934400000007</v>
      </c>
      <c r="L25" s="587">
        <v>0.05</v>
      </c>
      <c r="M25" s="588">
        <v>27.627729343999999</v>
      </c>
      <c r="N25" s="589">
        <v>4.6000000000000005</v>
      </c>
      <c r="O25" s="587">
        <v>14.9</v>
      </c>
      <c r="P25" s="587">
        <v>3.8999999999999995</v>
      </c>
      <c r="Q25" s="587">
        <v>0.85914000000000001</v>
      </c>
      <c r="R25" s="587">
        <v>1.7445000000000001E-4</v>
      </c>
      <c r="S25" s="588">
        <v>24.259139999999999</v>
      </c>
    </row>
    <row r="26" spans="1:19" ht="15.95" customHeight="1">
      <c r="A26" s="753">
        <v>2001</v>
      </c>
      <c r="B26" s="754">
        <v>9.8637399999999982</v>
      </c>
      <c r="C26" s="754">
        <v>2.8</v>
      </c>
      <c r="D26" s="754">
        <v>16.2</v>
      </c>
      <c r="E26" s="754">
        <v>0.2756070196</v>
      </c>
      <c r="F26" s="754">
        <v>9.3789999999999996</v>
      </c>
      <c r="G26" s="755">
        <v>38.518347019599993</v>
      </c>
      <c r="H26" s="756">
        <v>3</v>
      </c>
      <c r="I26" s="754">
        <v>22.5</v>
      </c>
      <c r="J26" s="754">
        <v>1.8000000000000005</v>
      </c>
      <c r="K26" s="754">
        <v>1.0367921666</v>
      </c>
      <c r="L26" s="754">
        <v>0.217</v>
      </c>
      <c r="M26" s="755">
        <v>28.553792166600001</v>
      </c>
      <c r="N26" s="756">
        <v>3.9</v>
      </c>
      <c r="O26" s="754">
        <v>14.999999999999998</v>
      </c>
      <c r="P26" s="754">
        <v>3.9</v>
      </c>
      <c r="Q26" s="754">
        <v>0.99900000000000011</v>
      </c>
      <c r="R26" s="754">
        <v>0.621</v>
      </c>
      <c r="S26" s="755">
        <v>24.419999999999995</v>
      </c>
    </row>
    <row r="27" spans="1:19" ht="15.95" customHeight="1">
      <c r="A27" s="590">
        <v>2002</v>
      </c>
      <c r="B27" s="591">
        <v>8.9666999999999994</v>
      </c>
      <c r="C27" s="592">
        <v>3</v>
      </c>
      <c r="D27" s="592">
        <v>16.47</v>
      </c>
      <c r="E27" s="592">
        <v>0.3</v>
      </c>
      <c r="F27" s="591">
        <v>9.9239999999999995</v>
      </c>
      <c r="G27" s="593">
        <v>38.660699999999999</v>
      </c>
      <c r="H27" s="594">
        <v>2.5000000000000004</v>
      </c>
      <c r="I27" s="592">
        <v>23.2</v>
      </c>
      <c r="J27" s="592">
        <v>1.518</v>
      </c>
      <c r="K27" s="592">
        <v>0.4</v>
      </c>
      <c r="L27" s="591">
        <v>0.16900000000000001</v>
      </c>
      <c r="M27" s="593">
        <v>27.786999999999999</v>
      </c>
      <c r="N27" s="594">
        <v>3.3</v>
      </c>
      <c r="O27" s="592">
        <v>14.8</v>
      </c>
      <c r="P27" s="592">
        <v>3.847</v>
      </c>
      <c r="Q27" s="592">
        <v>0.5</v>
      </c>
      <c r="R27" s="591">
        <v>0.34899999999999998</v>
      </c>
      <c r="S27" s="593">
        <v>22.796000000000003</v>
      </c>
    </row>
    <row r="28" spans="1:19" ht="15.95" customHeight="1">
      <c r="A28" s="757">
        <v>2003</v>
      </c>
      <c r="B28" s="758">
        <v>8.1</v>
      </c>
      <c r="C28" s="759">
        <v>3.6</v>
      </c>
      <c r="D28" s="759">
        <v>15.8</v>
      </c>
      <c r="E28" s="759">
        <v>0.2</v>
      </c>
      <c r="F28" s="758">
        <v>10.695</v>
      </c>
      <c r="G28" s="760">
        <v>38.394999999999996</v>
      </c>
      <c r="H28" s="758">
        <v>2.4</v>
      </c>
      <c r="I28" s="759">
        <v>23.200000000000006</v>
      </c>
      <c r="J28" s="759">
        <v>2.1</v>
      </c>
      <c r="K28" s="759">
        <v>0.4</v>
      </c>
      <c r="L28" s="758">
        <v>0.32600000000000001</v>
      </c>
      <c r="M28" s="760">
        <v>28.426000000000005</v>
      </c>
      <c r="N28" s="758">
        <v>3.2</v>
      </c>
      <c r="O28" s="759">
        <v>15.3</v>
      </c>
      <c r="P28" s="759">
        <v>3.9</v>
      </c>
      <c r="Q28" s="759">
        <v>0.5</v>
      </c>
      <c r="R28" s="758">
        <v>0.35599999999999998</v>
      </c>
      <c r="S28" s="761">
        <v>23.256</v>
      </c>
    </row>
    <row r="29" spans="1:19" ht="15.95" customHeight="1">
      <c r="A29" s="586">
        <v>2004</v>
      </c>
      <c r="B29" s="587">
        <v>7.8</v>
      </c>
      <c r="C29" s="587">
        <v>3.7</v>
      </c>
      <c r="D29" s="587">
        <v>16.29</v>
      </c>
      <c r="E29" s="587">
        <v>0.2</v>
      </c>
      <c r="F29" s="587">
        <v>9.98</v>
      </c>
      <c r="G29" s="698">
        <v>37.97</v>
      </c>
      <c r="H29" s="587">
        <v>1.9</v>
      </c>
      <c r="I29" s="587">
        <v>22.8</v>
      </c>
      <c r="J29" s="587">
        <v>2.1</v>
      </c>
      <c r="K29" s="587">
        <v>0.4</v>
      </c>
      <c r="L29" s="587">
        <v>0.20899999999999999</v>
      </c>
      <c r="M29" s="698">
        <v>27.408999999999999</v>
      </c>
      <c r="N29" s="587">
        <v>1.8</v>
      </c>
      <c r="O29" s="587">
        <v>15.5</v>
      </c>
      <c r="P29" s="587">
        <v>4.2</v>
      </c>
      <c r="Q29" s="587">
        <v>0.4</v>
      </c>
      <c r="R29" s="587">
        <v>0.63200000000000001</v>
      </c>
      <c r="S29" s="588">
        <v>22.532</v>
      </c>
    </row>
    <row r="30" spans="1:19" ht="15.95" customHeight="1">
      <c r="A30" s="762">
        <v>2005</v>
      </c>
      <c r="B30" s="759">
        <v>5.4</v>
      </c>
      <c r="C30" s="759">
        <v>3.7</v>
      </c>
      <c r="D30" s="759">
        <v>15.3</v>
      </c>
      <c r="E30" s="759">
        <v>0.4</v>
      </c>
      <c r="F30" s="759">
        <v>11.236000000000001</v>
      </c>
      <c r="G30" s="760">
        <v>36.036000000000001</v>
      </c>
      <c r="H30" s="759">
        <v>1.3</v>
      </c>
      <c r="I30" s="759">
        <v>23.1</v>
      </c>
      <c r="J30" s="759">
        <v>1.7</v>
      </c>
      <c r="K30" s="759">
        <v>0.4</v>
      </c>
      <c r="L30" s="759">
        <v>0.34699999999999998</v>
      </c>
      <c r="M30" s="760">
        <v>26.847000000000001</v>
      </c>
      <c r="N30" s="759">
        <v>1.9</v>
      </c>
      <c r="O30" s="759">
        <v>15.5</v>
      </c>
      <c r="P30" s="759">
        <v>3.6</v>
      </c>
      <c r="Q30" s="759">
        <v>0.6</v>
      </c>
      <c r="R30" s="759">
        <v>0.43099999999999999</v>
      </c>
      <c r="S30" s="761">
        <v>22.031000000000002</v>
      </c>
    </row>
    <row r="31" spans="1:19" ht="15.95" customHeight="1">
      <c r="A31" s="586">
        <v>2006</v>
      </c>
      <c r="B31" s="587">
        <v>3.4</v>
      </c>
      <c r="C31" s="587">
        <v>4.7</v>
      </c>
      <c r="D31" s="587">
        <v>15.3</v>
      </c>
      <c r="E31" s="587">
        <v>0.3</v>
      </c>
      <c r="F31" s="587">
        <v>10.446999999999999</v>
      </c>
      <c r="G31" s="698">
        <v>34.146999999999998</v>
      </c>
      <c r="H31" s="587">
        <v>1.1000000000000001</v>
      </c>
      <c r="I31" s="587">
        <v>22.4</v>
      </c>
      <c r="J31" s="587">
        <v>1.5</v>
      </c>
      <c r="K31" s="587">
        <v>0.3</v>
      </c>
      <c r="L31" s="587">
        <v>0.17100000000000001</v>
      </c>
      <c r="M31" s="698">
        <v>25.471</v>
      </c>
      <c r="N31" s="587">
        <v>1.6</v>
      </c>
      <c r="O31" s="587">
        <v>14.7</v>
      </c>
      <c r="P31" s="587">
        <v>3.9</v>
      </c>
      <c r="Q31" s="587">
        <v>0.4</v>
      </c>
      <c r="R31" s="587">
        <v>0.51200000000000001</v>
      </c>
      <c r="S31" s="588">
        <v>21.111999999999998</v>
      </c>
    </row>
    <row r="32" spans="1:19" ht="15.95" customHeight="1">
      <c r="A32" s="753">
        <v>2007</v>
      </c>
      <c r="B32" s="754">
        <v>2.6</v>
      </c>
      <c r="C32" s="754">
        <v>4.2</v>
      </c>
      <c r="D32" s="754">
        <v>13.7</v>
      </c>
      <c r="E32" s="754">
        <v>0.2</v>
      </c>
      <c r="F32" s="754">
        <v>11.138</v>
      </c>
      <c r="G32" s="763">
        <v>31.838000000000001</v>
      </c>
      <c r="H32" s="754">
        <v>0.7</v>
      </c>
      <c r="I32" s="754">
        <v>22.8</v>
      </c>
      <c r="J32" s="754">
        <v>1.2</v>
      </c>
      <c r="K32" s="754">
        <v>0.3</v>
      </c>
      <c r="L32" s="754">
        <v>0.20899999999999999</v>
      </c>
      <c r="M32" s="763">
        <v>25.209</v>
      </c>
      <c r="N32" s="754">
        <v>1.4</v>
      </c>
      <c r="O32" s="754">
        <v>15.4</v>
      </c>
      <c r="P32" s="754">
        <v>3.3</v>
      </c>
      <c r="Q32" s="754">
        <v>0.4</v>
      </c>
      <c r="R32" s="754">
        <v>0.58899999999999997</v>
      </c>
      <c r="S32" s="755">
        <v>21.088999999999999</v>
      </c>
    </row>
    <row r="33" spans="1:19" ht="15.95" customHeight="1">
      <c r="A33" s="586">
        <v>2008</v>
      </c>
      <c r="B33" s="587">
        <v>2</v>
      </c>
      <c r="C33" s="587">
        <v>5.4</v>
      </c>
      <c r="D33" s="587">
        <v>12.9</v>
      </c>
      <c r="E33" s="587">
        <v>0.2</v>
      </c>
      <c r="F33" s="587">
        <v>11.381</v>
      </c>
      <c r="G33" s="698">
        <v>31.881</v>
      </c>
      <c r="H33" s="587">
        <v>0.5</v>
      </c>
      <c r="I33" s="587">
        <v>22.3</v>
      </c>
      <c r="J33" s="587">
        <v>0.8</v>
      </c>
      <c r="K33" s="587">
        <v>0.2</v>
      </c>
      <c r="L33" s="587">
        <v>0.20799999999999999</v>
      </c>
      <c r="M33" s="698">
        <v>24.007999999999999</v>
      </c>
      <c r="N33" s="587">
        <v>0.8</v>
      </c>
      <c r="O33" s="587">
        <v>14.8</v>
      </c>
      <c r="P33" s="587">
        <v>2.9</v>
      </c>
      <c r="Q33" s="587">
        <v>0.3</v>
      </c>
      <c r="R33" s="587">
        <v>0.501</v>
      </c>
      <c r="S33" s="588">
        <v>19.301000000000002</v>
      </c>
    </row>
    <row r="34" spans="1:19" ht="15.95" customHeight="1">
      <c r="A34" s="753">
        <v>2009</v>
      </c>
      <c r="B34" s="754">
        <v>1.5</v>
      </c>
      <c r="C34" s="754">
        <v>5.2</v>
      </c>
      <c r="D34" s="754">
        <v>14.6</v>
      </c>
      <c r="E34" s="754">
        <v>0.2</v>
      </c>
      <c r="F34" s="754">
        <v>13</v>
      </c>
      <c r="G34" s="763">
        <v>34.5</v>
      </c>
      <c r="H34" s="754">
        <v>0.4</v>
      </c>
      <c r="I34" s="754">
        <v>21.9</v>
      </c>
      <c r="J34" s="754">
        <v>1.1000000000000001</v>
      </c>
      <c r="K34" s="754">
        <v>0.2</v>
      </c>
      <c r="L34" s="754">
        <v>0.2</v>
      </c>
      <c r="M34" s="763">
        <v>23.799999999999997</v>
      </c>
      <c r="N34" s="754">
        <v>0.8</v>
      </c>
      <c r="O34" s="754">
        <v>16.2</v>
      </c>
      <c r="P34" s="754">
        <v>2.2000000000000002</v>
      </c>
      <c r="Q34" s="754">
        <v>0.4</v>
      </c>
      <c r="R34" s="754">
        <v>0.6</v>
      </c>
      <c r="S34" s="755">
        <v>20.2</v>
      </c>
    </row>
    <row r="35" spans="1:19" ht="15.95" customHeight="1">
      <c r="A35" s="586">
        <v>2010</v>
      </c>
      <c r="B35" s="587">
        <v>1.3</v>
      </c>
      <c r="C35" s="587">
        <v>5.8</v>
      </c>
      <c r="D35" s="587">
        <v>16.100000000000001</v>
      </c>
      <c r="E35" s="587">
        <v>0.2</v>
      </c>
      <c r="F35" s="587">
        <v>12.4</v>
      </c>
      <c r="G35" s="698">
        <v>35.800000000000004</v>
      </c>
      <c r="H35" s="587">
        <v>0.4</v>
      </c>
      <c r="I35" s="587">
        <v>24.9</v>
      </c>
      <c r="J35" s="587">
        <v>1</v>
      </c>
      <c r="K35" s="587">
        <v>0.2</v>
      </c>
      <c r="L35" s="587">
        <v>0.2</v>
      </c>
      <c r="M35" s="698">
        <v>26.699999999999996</v>
      </c>
      <c r="N35" s="587">
        <v>0.9</v>
      </c>
      <c r="O35" s="587">
        <v>18.5</v>
      </c>
      <c r="P35" s="587">
        <v>2.2000000000000002</v>
      </c>
      <c r="Q35" s="587">
        <v>0.3</v>
      </c>
      <c r="R35" s="587">
        <v>0.5</v>
      </c>
      <c r="S35" s="588">
        <v>22.4</v>
      </c>
    </row>
    <row r="36" spans="1:19" ht="15.95" customHeight="1">
      <c r="A36" s="753">
        <v>2011</v>
      </c>
      <c r="B36" s="754">
        <v>0.9</v>
      </c>
      <c r="C36" s="754">
        <v>6</v>
      </c>
      <c r="D36" s="754">
        <v>14.4</v>
      </c>
      <c r="E36" s="754">
        <v>0.1</v>
      </c>
      <c r="F36" s="754">
        <v>12</v>
      </c>
      <c r="G36" s="763">
        <v>33.400000000000006</v>
      </c>
      <c r="H36" s="754">
        <v>0.3</v>
      </c>
      <c r="I36" s="754">
        <v>21.1</v>
      </c>
      <c r="J36" s="754">
        <v>1.1000000000000001</v>
      </c>
      <c r="K36" s="754">
        <v>0.2</v>
      </c>
      <c r="L36" s="754">
        <v>0.2</v>
      </c>
      <c r="M36" s="763">
        <v>22.900000000000002</v>
      </c>
      <c r="N36" s="754">
        <v>0.7</v>
      </c>
      <c r="O36" s="754">
        <v>15.5</v>
      </c>
      <c r="P36" s="754">
        <v>2.7</v>
      </c>
      <c r="Q36" s="754">
        <v>0.3</v>
      </c>
      <c r="R36" s="754">
        <v>0.6</v>
      </c>
      <c r="S36" s="755">
        <v>19.8</v>
      </c>
    </row>
    <row r="37" spans="1:19" ht="15.95" customHeight="1">
      <c r="A37" s="586">
        <v>2012</v>
      </c>
      <c r="B37" s="587">
        <v>0.9</v>
      </c>
      <c r="C37" s="587">
        <v>5.7</v>
      </c>
      <c r="D37" s="587">
        <v>14.6</v>
      </c>
      <c r="E37" s="587">
        <v>0.2</v>
      </c>
      <c r="F37" s="587">
        <v>11.5</v>
      </c>
      <c r="G37" s="698">
        <v>32.9</v>
      </c>
      <c r="H37" s="587">
        <v>0.3</v>
      </c>
      <c r="I37" s="587">
        <v>23.3</v>
      </c>
      <c r="J37" s="587">
        <v>1.3</v>
      </c>
      <c r="K37" s="587">
        <v>0.3</v>
      </c>
      <c r="L37" s="587">
        <v>0.2</v>
      </c>
      <c r="M37" s="698">
        <v>25.400000000000002</v>
      </c>
      <c r="N37" s="587">
        <v>0.7</v>
      </c>
      <c r="O37" s="587">
        <v>16.600000000000001</v>
      </c>
      <c r="P37" s="587">
        <v>2.8</v>
      </c>
      <c r="Q37" s="587">
        <v>0.3</v>
      </c>
      <c r="R37" s="587">
        <v>0.7</v>
      </c>
      <c r="S37" s="588">
        <v>21.1</v>
      </c>
    </row>
    <row r="38" spans="1:19" ht="15.95" customHeight="1">
      <c r="A38" s="753">
        <v>2013</v>
      </c>
      <c r="B38" s="754">
        <v>0.9</v>
      </c>
      <c r="C38" s="754">
        <v>5.8</v>
      </c>
      <c r="D38" s="754">
        <v>14.7</v>
      </c>
      <c r="E38" s="754">
        <v>0.1</v>
      </c>
      <c r="F38" s="754">
        <v>11.1</v>
      </c>
      <c r="G38" s="763">
        <v>32.6</v>
      </c>
      <c r="H38" s="754">
        <v>0.2</v>
      </c>
      <c r="I38" s="754">
        <v>23</v>
      </c>
      <c r="J38" s="754">
        <v>1.3</v>
      </c>
      <c r="K38" s="754">
        <v>0.3</v>
      </c>
      <c r="L38" s="754">
        <v>0.2</v>
      </c>
      <c r="M38" s="763">
        <v>25</v>
      </c>
      <c r="N38" s="754">
        <v>0.5</v>
      </c>
      <c r="O38" s="754">
        <v>17.899999999999999</v>
      </c>
      <c r="P38" s="754">
        <v>3.3</v>
      </c>
      <c r="Q38" s="754">
        <v>0.2</v>
      </c>
      <c r="R38" s="754">
        <v>0.7</v>
      </c>
      <c r="S38" s="755">
        <v>22.599999999999998</v>
      </c>
    </row>
    <row r="39" spans="1:19" ht="15.95" customHeight="1">
      <c r="A39" s="586">
        <v>2014</v>
      </c>
      <c r="B39" s="587">
        <v>0.74299999999999999</v>
      </c>
      <c r="C39" s="587">
        <v>5.8319999999999999</v>
      </c>
      <c r="D39" s="587">
        <v>14.012763171155836</v>
      </c>
      <c r="E39" s="587">
        <v>0.23699999999999999</v>
      </c>
      <c r="F39" s="587">
        <v>10.265000000000001</v>
      </c>
      <c r="G39" s="698">
        <v>31.233763171155832</v>
      </c>
      <c r="H39" s="587">
        <v>0.13600000000000001</v>
      </c>
      <c r="I39" s="587">
        <v>22.049528000000002</v>
      </c>
      <c r="J39" s="587">
        <v>1.4285379999999999</v>
      </c>
      <c r="K39" s="587">
        <v>0.22600000000000001</v>
      </c>
      <c r="L39" s="587">
        <v>0.26800000000000002</v>
      </c>
      <c r="M39" s="698">
        <v>24.108066000000001</v>
      </c>
      <c r="N39" s="587">
        <v>0.437</v>
      </c>
      <c r="O39" s="587">
        <v>16.507999999999999</v>
      </c>
      <c r="P39" s="587">
        <v>2.9359999999999995</v>
      </c>
      <c r="Q39" s="587">
        <v>0.33500000000000002</v>
      </c>
      <c r="R39" s="587">
        <v>0.46300000000000002</v>
      </c>
      <c r="S39" s="588">
        <v>20.679000000000002</v>
      </c>
    </row>
    <row r="40" spans="1:19" ht="15.95" customHeight="1">
      <c r="A40" s="753">
        <v>2015</v>
      </c>
      <c r="B40" s="754">
        <v>0.753</v>
      </c>
      <c r="C40" s="754">
        <v>5.8809999999999993</v>
      </c>
      <c r="D40" s="754">
        <v>14.109215913051951</v>
      </c>
      <c r="E40" s="754">
        <v>0.245</v>
      </c>
      <c r="F40" s="754">
        <v>10.351000000000001</v>
      </c>
      <c r="G40" s="763">
        <v>31.485215913051956</v>
      </c>
      <c r="H40" s="754">
        <v>4.1692999999999994E-2</v>
      </c>
      <c r="I40" s="754">
        <v>22.146508000000001</v>
      </c>
      <c r="J40" s="754">
        <v>1.4347939999999999</v>
      </c>
      <c r="K40" s="754">
        <v>0.23100000000000001</v>
      </c>
      <c r="L40" s="754">
        <v>0.26800000000000002</v>
      </c>
      <c r="M40" s="763">
        <v>24.123995000000001</v>
      </c>
      <c r="N40" s="754">
        <v>0.43999999999999995</v>
      </c>
      <c r="O40" s="754">
        <v>16.581999999999997</v>
      </c>
      <c r="P40" s="754">
        <v>2.9529999999999998</v>
      </c>
      <c r="Q40" s="754">
        <v>0.34399999999999997</v>
      </c>
      <c r="R40" s="754">
        <v>0.46899999999999997</v>
      </c>
      <c r="S40" s="755">
        <v>20.82</v>
      </c>
    </row>
    <row r="41" spans="1:19">
      <c r="A41" s="58"/>
      <c r="B41" s="200"/>
      <c r="C41" s="200"/>
      <c r="D41" s="200"/>
      <c r="E41" s="200"/>
      <c r="F41" s="200"/>
      <c r="G41" s="200"/>
      <c r="H41" s="200"/>
      <c r="I41" s="200"/>
      <c r="J41" s="200"/>
      <c r="K41" s="200"/>
      <c r="L41" s="200"/>
      <c r="M41" s="200"/>
      <c r="N41" s="200"/>
      <c r="O41" s="200"/>
      <c r="P41" s="200"/>
    </row>
    <row r="42" spans="1:19" s="98" customFormat="1">
      <c r="A42" s="318" t="s">
        <v>27</v>
      </c>
      <c r="B42" s="200"/>
      <c r="C42" s="200"/>
      <c r="D42" s="200"/>
      <c r="E42" s="200"/>
      <c r="F42" s="200"/>
      <c r="G42" s="200"/>
      <c r="H42" s="200"/>
      <c r="I42" s="200"/>
      <c r="J42" s="200"/>
      <c r="K42" s="200"/>
      <c r="L42" s="200"/>
      <c r="M42" s="200"/>
      <c r="N42" s="200"/>
      <c r="O42" s="200"/>
      <c r="P42" s="200"/>
    </row>
    <row r="43" spans="1:19" s="98" customFormat="1">
      <c r="A43" s="105" t="s">
        <v>261</v>
      </c>
      <c r="B43" s="404"/>
      <c r="C43" s="404"/>
      <c r="D43" s="404"/>
      <c r="E43" s="404"/>
      <c r="F43" s="404"/>
      <c r="G43" s="404"/>
      <c r="H43" s="404"/>
      <c r="I43" s="404"/>
      <c r="J43" s="404"/>
      <c r="K43" s="404"/>
      <c r="L43" s="404"/>
      <c r="M43" s="404"/>
      <c r="N43" s="404"/>
      <c r="O43" s="404"/>
      <c r="P43" s="404"/>
    </row>
    <row r="44" spans="1:19" s="98" customFormat="1">
      <c r="A44" s="58"/>
      <c r="B44" s="200"/>
      <c r="C44" s="200"/>
      <c r="D44" s="200"/>
      <c r="E44" s="200"/>
      <c r="F44" s="200"/>
      <c r="G44" s="200"/>
      <c r="H44" s="200"/>
      <c r="I44" s="200"/>
      <c r="J44" s="200"/>
      <c r="K44" s="200"/>
      <c r="L44" s="200"/>
      <c r="M44" s="200"/>
      <c r="N44" s="200"/>
      <c r="O44" s="200"/>
      <c r="P44" s="200"/>
    </row>
    <row r="45" spans="1:19" s="98" customFormat="1">
      <c r="A45" s="58"/>
      <c r="B45" s="200"/>
      <c r="C45" s="200"/>
      <c r="D45" s="200"/>
      <c r="E45" s="200"/>
      <c r="F45" s="200"/>
      <c r="G45" s="200"/>
      <c r="H45" s="200"/>
      <c r="I45" s="200"/>
      <c r="J45" s="200"/>
      <c r="K45" s="200"/>
      <c r="L45" s="200"/>
      <c r="M45" s="200"/>
      <c r="N45" s="200"/>
      <c r="O45" s="200"/>
      <c r="P45" s="200"/>
    </row>
    <row r="46" spans="1:19">
      <c r="A46" s="58"/>
      <c r="B46" s="200"/>
      <c r="C46" s="200"/>
      <c r="D46" s="200"/>
      <c r="E46" s="200"/>
      <c r="F46" s="200"/>
      <c r="G46" s="200"/>
      <c r="H46" s="200"/>
      <c r="I46" s="200"/>
      <c r="J46" s="200"/>
      <c r="K46" s="200"/>
      <c r="L46" s="200"/>
      <c r="M46" s="200"/>
      <c r="N46" s="200"/>
      <c r="O46" s="200"/>
      <c r="P46" s="200"/>
    </row>
    <row r="47" spans="1:19">
      <c r="A47" s="58"/>
      <c r="B47" s="200"/>
      <c r="C47" s="200"/>
      <c r="D47" s="200"/>
      <c r="E47" s="200"/>
      <c r="F47" s="200"/>
      <c r="G47" s="200"/>
      <c r="H47" s="200"/>
      <c r="I47" s="200"/>
      <c r="J47" s="200"/>
      <c r="K47" s="200"/>
      <c r="L47" s="200"/>
      <c r="M47" s="200"/>
      <c r="N47" s="200"/>
      <c r="O47" s="200"/>
      <c r="P47" s="200"/>
    </row>
    <row r="48" spans="1:19">
      <c r="A48" s="58"/>
      <c r="B48" s="200"/>
      <c r="C48" s="200"/>
      <c r="D48" s="200"/>
      <c r="E48" s="200"/>
    </row>
  </sheetData>
  <mergeCells count="3">
    <mergeCell ref="B5:G5"/>
    <mergeCell ref="H5:M5"/>
    <mergeCell ref="N5:S5"/>
  </mergeCells>
  <hyperlinks>
    <hyperlink ref="A1" location="Innehåll!A1" display="Innehåll"/>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6" tint="0.39997558519241921"/>
  </sheetPr>
  <dimension ref="A1:Z43"/>
  <sheetViews>
    <sheetView zoomScaleNormal="100" workbookViewId="0">
      <pane ySplit="6" topLeftCell="A7" activePane="bottomLeft" state="frozen"/>
      <selection pane="bottomLeft" activeCell="B1" sqref="B1"/>
    </sheetView>
  </sheetViews>
  <sheetFormatPr defaultColWidth="9.1328125" defaultRowHeight="14.25"/>
  <cols>
    <col min="1" max="1" width="9.1328125" style="549" customWidth="1"/>
    <col min="2" max="5" width="18.73046875" style="549" customWidth="1"/>
    <col min="6" max="16384" width="9.1328125" style="549"/>
  </cols>
  <sheetData>
    <row r="1" spans="1:26" customFormat="1">
      <c r="A1" s="524" t="str">
        <f>IF(språk=lista[[#Headers],[Svenska]],"Innehåll",IF(språk=lista[[#Headers],[English]],"Contents","FEL"))</f>
        <v>Contents</v>
      </c>
      <c r="B1" s="549"/>
      <c r="C1" s="549"/>
      <c r="D1" s="549"/>
      <c r="E1" s="549"/>
      <c r="F1" s="549"/>
      <c r="G1" s="549"/>
      <c r="H1" s="549"/>
      <c r="I1" s="549"/>
      <c r="J1" s="549"/>
      <c r="K1" s="549"/>
      <c r="L1" s="549"/>
      <c r="M1" s="549"/>
      <c r="N1" s="549"/>
      <c r="O1" s="549"/>
      <c r="P1" s="549"/>
      <c r="Q1" s="549"/>
      <c r="R1" s="549"/>
      <c r="S1" s="549"/>
      <c r="T1" s="549"/>
      <c r="U1" s="549"/>
      <c r="V1" s="549"/>
      <c r="W1" s="549"/>
      <c r="X1" s="549"/>
      <c r="Y1" s="549"/>
      <c r="Z1" s="549"/>
    </row>
    <row r="2" spans="1:26" customFormat="1">
      <c r="A2" s="549"/>
      <c r="B2" s="549"/>
      <c r="C2" s="549"/>
      <c r="D2" s="549"/>
      <c r="E2" s="549"/>
      <c r="F2" s="549"/>
      <c r="G2" s="549"/>
      <c r="H2" s="549"/>
      <c r="I2" s="549"/>
      <c r="J2" s="549"/>
      <c r="K2" s="549"/>
      <c r="L2" s="549"/>
      <c r="M2" s="549"/>
      <c r="N2" s="549"/>
      <c r="O2" s="549"/>
      <c r="P2" s="549"/>
      <c r="Q2" s="549"/>
      <c r="R2" s="549"/>
      <c r="S2" s="549"/>
      <c r="T2" s="549"/>
      <c r="U2" s="549"/>
      <c r="V2" s="549"/>
      <c r="W2" s="549"/>
      <c r="X2" s="549"/>
      <c r="Y2" s="549"/>
      <c r="Z2" s="549"/>
    </row>
    <row r="3" spans="1:26" ht="15.75">
      <c r="A3" s="437" t="str">
        <f>IFERROR(INDEX(lista[],MATCH($A5,lista[ID],0),MATCH(språk,lista[#Headers],0)),"")</f>
        <v>Heated area in dwellings and non-residential premises, from 1983, million m2</v>
      </c>
      <c r="B3" s="437"/>
      <c r="C3" s="437"/>
      <c r="D3" s="437"/>
      <c r="E3" s="437"/>
      <c r="F3" s="1"/>
      <c r="G3" s="1"/>
      <c r="H3" s="1"/>
      <c r="I3" s="1"/>
      <c r="J3" s="1"/>
      <c r="K3" s="1"/>
      <c r="L3" s="1"/>
      <c r="M3" s="1"/>
      <c r="N3" s="1"/>
      <c r="O3" s="1"/>
    </row>
    <row r="4" spans="1:26" ht="15.75">
      <c r="A4" s="437"/>
      <c r="B4" s="437"/>
      <c r="C4" s="437"/>
      <c r="D4" s="437"/>
      <c r="E4" s="437"/>
      <c r="F4" s="1"/>
      <c r="G4" s="1"/>
      <c r="H4" s="1"/>
      <c r="I4" s="1"/>
      <c r="J4" s="1"/>
      <c r="K4" s="1"/>
      <c r="L4" s="1"/>
      <c r="M4" s="1"/>
      <c r="N4" s="1"/>
      <c r="O4" s="1"/>
    </row>
    <row r="5" spans="1:26" ht="15.75" hidden="1">
      <c r="A5" s="437">
        <v>18</v>
      </c>
      <c r="B5" s="437" t="s">
        <v>647</v>
      </c>
      <c r="C5" s="437" t="s">
        <v>648</v>
      </c>
      <c r="D5" s="437" t="s">
        <v>649</v>
      </c>
      <c r="E5" s="437"/>
      <c r="F5" s="1"/>
      <c r="G5" s="1"/>
      <c r="H5" s="1"/>
      <c r="I5" s="1"/>
      <c r="J5" s="1"/>
      <c r="K5" s="1"/>
      <c r="L5" s="1"/>
      <c r="M5" s="1"/>
      <c r="N5" s="1"/>
      <c r="O5" s="1"/>
    </row>
    <row r="6" spans="1:26" ht="29.25" customHeight="1">
      <c r="A6" s="585"/>
      <c r="B6" s="57" t="str">
        <f>IFERROR(INDEX(_3.5[],MATCH(språk,_3.5[[id]:[id]],0),MATCH(B$5,_3.5[#Headers],0)),"")</f>
        <v>One- and two-dwelling buildings</v>
      </c>
      <c r="C6" s="57" t="str">
        <f>IFERROR(INDEX(_3.5[],MATCH(språk,_3.5[[id]:[id]],0),MATCH(C$5,_3.5[#Headers],0)),"")</f>
        <v>Multi-dwelling buildings</v>
      </c>
      <c r="D6" s="57" t="str">
        <f>IFERROR(INDEX(_3.5[],MATCH(språk,_3.5[[id]:[id]],0),MATCH(D$5,_3.5[#Headers],0)),"")</f>
        <v>Non-residential premises</v>
      </c>
      <c r="E6" s="595" t="str">
        <f>IF(språk=lista[[#Headers],[Svenska]],"Totalt",IF(språk=lista[[#Headers],[English]],"Total","FEL"))</f>
        <v>Total</v>
      </c>
      <c r="F6" s="98"/>
      <c r="G6" s="523"/>
      <c r="H6" s="446"/>
      <c r="I6" s="446"/>
      <c r="J6" s="446"/>
      <c r="K6" s="446"/>
      <c r="L6" s="98"/>
      <c r="M6" s="523"/>
      <c r="N6" s="446"/>
      <c r="O6" s="446"/>
    </row>
    <row r="7" spans="1:26">
      <c r="A7" s="753">
        <v>1983</v>
      </c>
      <c r="B7" s="764">
        <v>253</v>
      </c>
      <c r="C7" s="764">
        <v>126.6</v>
      </c>
      <c r="D7" s="764">
        <v>134.80000000000001</v>
      </c>
      <c r="E7" s="765">
        <v>514.4</v>
      </c>
      <c r="F7" s="587"/>
      <c r="G7" s="588"/>
      <c r="H7" s="587"/>
      <c r="I7" s="587"/>
      <c r="J7" s="587"/>
      <c r="K7" s="587"/>
      <c r="L7" s="587"/>
      <c r="M7" s="588"/>
      <c r="N7" s="587"/>
      <c r="O7" s="587"/>
    </row>
    <row r="8" spans="1:26">
      <c r="A8" s="586">
        <v>1984</v>
      </c>
      <c r="B8" s="200">
        <v>256</v>
      </c>
      <c r="C8" s="200">
        <v>136.6</v>
      </c>
      <c r="D8" s="200">
        <v>136.80000000000001</v>
      </c>
      <c r="E8" s="596">
        <v>529.4</v>
      </c>
      <c r="F8" s="587"/>
      <c r="G8" s="588"/>
      <c r="H8" s="587"/>
      <c r="I8" s="587"/>
      <c r="J8" s="587"/>
      <c r="K8" s="587"/>
      <c r="L8" s="587"/>
      <c r="M8" s="588"/>
      <c r="N8" s="587"/>
      <c r="O8" s="587"/>
    </row>
    <row r="9" spans="1:26">
      <c r="A9" s="753">
        <v>1985</v>
      </c>
      <c r="B9" s="764">
        <v>262</v>
      </c>
      <c r="C9" s="764">
        <v>139.1</v>
      </c>
      <c r="D9" s="764">
        <v>138.80000000000001</v>
      </c>
      <c r="E9" s="765">
        <v>539.9</v>
      </c>
      <c r="F9" s="587"/>
      <c r="G9" s="588"/>
      <c r="H9" s="587"/>
      <c r="I9" s="587"/>
      <c r="J9" s="587"/>
      <c r="K9" s="587"/>
      <c r="L9" s="587"/>
      <c r="M9" s="588"/>
      <c r="N9" s="587"/>
      <c r="O9" s="587"/>
    </row>
    <row r="10" spans="1:26">
      <c r="A10" s="586">
        <v>1986</v>
      </c>
      <c r="B10" s="200">
        <v>267</v>
      </c>
      <c r="C10" s="200">
        <v>146.69999999999999</v>
      </c>
      <c r="D10" s="200">
        <v>140.80000000000001</v>
      </c>
      <c r="E10" s="596">
        <v>554.5</v>
      </c>
      <c r="F10" s="587"/>
      <c r="G10" s="588"/>
      <c r="H10" s="587"/>
      <c r="I10" s="587"/>
      <c r="J10" s="587"/>
      <c r="K10" s="587"/>
      <c r="L10" s="587"/>
      <c r="M10" s="588"/>
      <c r="N10" s="587"/>
      <c r="O10" s="587"/>
    </row>
    <row r="11" spans="1:26">
      <c r="A11" s="753">
        <v>1987</v>
      </c>
      <c r="B11" s="764">
        <v>269</v>
      </c>
      <c r="C11" s="764">
        <v>149.30000000000001</v>
      </c>
      <c r="D11" s="764">
        <v>142.80000000000001</v>
      </c>
      <c r="E11" s="765">
        <v>561.1</v>
      </c>
      <c r="F11" s="587"/>
      <c r="G11" s="588"/>
      <c r="H11" s="587"/>
      <c r="I11" s="587"/>
      <c r="J11" s="587"/>
      <c r="K11" s="587"/>
      <c r="L11" s="587"/>
      <c r="M11" s="588"/>
      <c r="N11" s="587"/>
      <c r="O11" s="587"/>
    </row>
    <row r="12" spans="1:26">
      <c r="A12" s="586">
        <v>1988</v>
      </c>
      <c r="B12" s="200">
        <v>273.8</v>
      </c>
      <c r="C12" s="200">
        <v>150.30000000000001</v>
      </c>
      <c r="D12" s="200">
        <v>143.29999999999998</v>
      </c>
      <c r="E12" s="596">
        <v>567.40000000000009</v>
      </c>
      <c r="F12" s="587"/>
      <c r="G12" s="588"/>
      <c r="H12" s="587"/>
      <c r="I12" s="587"/>
      <c r="J12" s="587"/>
      <c r="K12" s="587"/>
      <c r="L12" s="587"/>
      <c r="M12" s="588"/>
      <c r="N12" s="587"/>
      <c r="O12" s="587"/>
    </row>
    <row r="13" spans="1:26">
      <c r="A13" s="753">
        <v>1989</v>
      </c>
      <c r="B13" s="764">
        <v>278.59999999999997</v>
      </c>
      <c r="C13" s="764">
        <v>154.20000000000002</v>
      </c>
      <c r="D13" s="764">
        <v>144.60000000000002</v>
      </c>
      <c r="E13" s="765">
        <v>577.40000000000009</v>
      </c>
      <c r="F13" s="587"/>
      <c r="G13" s="588"/>
      <c r="H13" s="587"/>
      <c r="I13" s="587"/>
      <c r="J13" s="587"/>
      <c r="K13" s="587"/>
      <c r="L13" s="587"/>
      <c r="M13" s="588"/>
      <c r="N13" s="587"/>
      <c r="O13" s="587"/>
    </row>
    <row r="14" spans="1:26">
      <c r="A14" s="586">
        <v>1990</v>
      </c>
      <c r="B14" s="200">
        <v>276.10000000000002</v>
      </c>
      <c r="C14" s="200">
        <v>154.60000000000002</v>
      </c>
      <c r="D14" s="200">
        <v>149.30000000000001</v>
      </c>
      <c r="E14" s="596">
        <v>580</v>
      </c>
      <c r="F14" s="587"/>
      <c r="G14" s="588"/>
      <c r="H14" s="587"/>
      <c r="I14" s="587"/>
      <c r="J14" s="587"/>
      <c r="K14" s="587"/>
      <c r="L14" s="587"/>
      <c r="M14" s="588"/>
      <c r="N14" s="587"/>
      <c r="O14" s="587"/>
    </row>
    <row r="15" spans="1:26">
      <c r="A15" s="753">
        <v>1991</v>
      </c>
      <c r="B15" s="764">
        <v>292</v>
      </c>
      <c r="C15" s="764">
        <v>157.5</v>
      </c>
      <c r="D15" s="764">
        <v>150.55000000000001</v>
      </c>
      <c r="E15" s="765">
        <v>600.04999999999995</v>
      </c>
      <c r="F15" s="587"/>
      <c r="G15" s="588"/>
      <c r="H15" s="587"/>
      <c r="I15" s="587"/>
      <c r="J15" s="587"/>
      <c r="K15" s="587"/>
      <c r="L15" s="587"/>
      <c r="M15" s="588"/>
      <c r="N15" s="587"/>
      <c r="O15" s="587"/>
    </row>
    <row r="16" spans="1:26">
      <c r="A16" s="586">
        <v>1992</v>
      </c>
      <c r="B16" s="200">
        <v>292.10000000000008</v>
      </c>
      <c r="C16" s="200">
        <v>157.50000000000003</v>
      </c>
      <c r="D16" s="200">
        <v>154.19999999999999</v>
      </c>
      <c r="E16" s="596">
        <v>603.80000000000018</v>
      </c>
      <c r="F16" s="587"/>
      <c r="G16" s="588"/>
      <c r="H16" s="587"/>
      <c r="I16" s="587"/>
      <c r="J16" s="587"/>
      <c r="K16" s="587"/>
      <c r="L16" s="587"/>
      <c r="M16" s="588"/>
      <c r="N16" s="587"/>
      <c r="O16" s="587"/>
    </row>
    <row r="17" spans="1:15">
      <c r="A17" s="753">
        <v>1993</v>
      </c>
      <c r="B17" s="764">
        <v>291.09999999999997</v>
      </c>
      <c r="C17" s="764">
        <v>163.9</v>
      </c>
      <c r="D17" s="764">
        <v>153.79999999999998</v>
      </c>
      <c r="E17" s="765">
        <v>608.79999999999995</v>
      </c>
      <c r="F17" s="587"/>
      <c r="G17" s="588"/>
      <c r="H17" s="587"/>
      <c r="I17" s="587"/>
      <c r="J17" s="587"/>
      <c r="K17" s="587"/>
      <c r="L17" s="587"/>
      <c r="M17" s="588"/>
      <c r="N17" s="587"/>
      <c r="O17" s="587"/>
    </row>
    <row r="18" spans="1:15">
      <c r="A18" s="586">
        <v>1994</v>
      </c>
      <c r="B18" s="200">
        <v>292.5</v>
      </c>
      <c r="C18" s="200">
        <v>164</v>
      </c>
      <c r="D18" s="200">
        <v>152.59999999999997</v>
      </c>
      <c r="E18" s="596">
        <v>609.09999999999991</v>
      </c>
      <c r="F18" s="587"/>
      <c r="G18" s="588"/>
      <c r="H18" s="587"/>
      <c r="I18" s="587"/>
      <c r="J18" s="587"/>
      <c r="K18" s="587"/>
      <c r="L18" s="587"/>
      <c r="M18" s="588"/>
      <c r="N18" s="587"/>
      <c r="O18" s="587"/>
    </row>
    <row r="19" spans="1:15">
      <c r="A19" s="753">
        <v>1995</v>
      </c>
      <c r="B19" s="764">
        <v>280.49999999999994</v>
      </c>
      <c r="C19" s="764">
        <v>165.79999999999998</v>
      </c>
      <c r="D19" s="764">
        <v>151.74999999999997</v>
      </c>
      <c r="E19" s="765">
        <v>598.04999999999995</v>
      </c>
      <c r="F19" s="587"/>
      <c r="G19" s="588"/>
      <c r="H19" s="587"/>
      <c r="I19" s="587"/>
      <c r="J19" s="587"/>
      <c r="K19" s="587"/>
      <c r="L19" s="587"/>
      <c r="M19" s="588"/>
      <c r="N19" s="587"/>
      <c r="O19" s="587"/>
    </row>
    <row r="20" spans="1:15">
      <c r="A20" s="586">
        <v>1996</v>
      </c>
      <c r="B20" s="200">
        <v>281</v>
      </c>
      <c r="C20" s="200">
        <v>165.70000000000002</v>
      </c>
      <c r="D20" s="200">
        <v>154.49999999999997</v>
      </c>
      <c r="E20" s="596">
        <v>601.20000000000005</v>
      </c>
      <c r="F20" s="587"/>
      <c r="G20" s="588"/>
      <c r="H20" s="587"/>
      <c r="I20" s="587"/>
      <c r="J20" s="587"/>
      <c r="K20" s="587"/>
      <c r="L20" s="587"/>
      <c r="M20" s="588"/>
      <c r="N20" s="587"/>
      <c r="O20" s="587"/>
    </row>
    <row r="21" spans="1:15">
      <c r="A21" s="753">
        <v>1997</v>
      </c>
      <c r="B21" s="764">
        <v>268.5</v>
      </c>
      <c r="C21" s="764">
        <v>167</v>
      </c>
      <c r="D21" s="764">
        <v>154</v>
      </c>
      <c r="E21" s="765">
        <v>589.5</v>
      </c>
      <c r="F21" s="587"/>
      <c r="G21" s="588"/>
      <c r="H21" s="587"/>
      <c r="I21" s="587"/>
      <c r="J21" s="587"/>
      <c r="K21" s="587"/>
      <c r="L21" s="587"/>
      <c r="M21" s="588"/>
      <c r="N21" s="587"/>
      <c r="O21" s="587"/>
    </row>
    <row r="22" spans="1:15">
      <c r="A22" s="586">
        <v>1998</v>
      </c>
      <c r="B22" s="200">
        <v>261.09999999999997</v>
      </c>
      <c r="C22" s="200">
        <v>168.2</v>
      </c>
      <c r="D22" s="200">
        <v>152.94999999999999</v>
      </c>
      <c r="E22" s="596">
        <v>582.25</v>
      </c>
      <c r="F22" s="587"/>
      <c r="G22" s="588"/>
      <c r="H22" s="587"/>
      <c r="I22" s="587"/>
      <c r="J22" s="587"/>
      <c r="K22" s="587"/>
      <c r="L22" s="587"/>
      <c r="M22" s="588"/>
      <c r="N22" s="587"/>
      <c r="O22" s="587"/>
    </row>
    <row r="23" spans="1:15">
      <c r="A23" s="753">
        <v>1999</v>
      </c>
      <c r="B23" s="764">
        <v>257.39999999999998</v>
      </c>
      <c r="C23" s="764">
        <v>165.7</v>
      </c>
      <c r="D23" s="764">
        <v>156.35000000000002</v>
      </c>
      <c r="E23" s="765">
        <v>579.45000000000005</v>
      </c>
      <c r="F23" s="587"/>
      <c r="G23" s="588"/>
      <c r="H23" s="587"/>
      <c r="I23" s="587"/>
      <c r="J23" s="587"/>
      <c r="K23" s="587"/>
      <c r="L23" s="587"/>
      <c r="M23" s="588"/>
      <c r="N23" s="587"/>
      <c r="O23" s="587"/>
    </row>
    <row r="24" spans="1:15">
      <c r="A24" s="586">
        <v>2000</v>
      </c>
      <c r="B24" s="200">
        <v>257.2</v>
      </c>
      <c r="C24" s="200">
        <v>168.4</v>
      </c>
      <c r="D24" s="200">
        <v>169.75</v>
      </c>
      <c r="E24" s="596">
        <v>595.34999999999991</v>
      </c>
      <c r="F24" s="587"/>
      <c r="G24" s="588"/>
      <c r="H24" s="587"/>
      <c r="I24" s="587"/>
      <c r="J24" s="587"/>
      <c r="K24" s="587"/>
      <c r="L24" s="587"/>
      <c r="M24" s="588"/>
      <c r="N24" s="587"/>
      <c r="O24" s="587"/>
    </row>
    <row r="25" spans="1:15">
      <c r="A25" s="753">
        <v>2001</v>
      </c>
      <c r="B25" s="764">
        <v>253.30000000000004</v>
      </c>
      <c r="C25" s="764">
        <v>161.69999999999999</v>
      </c>
      <c r="D25" s="764">
        <v>158.39999999999998</v>
      </c>
      <c r="E25" s="765">
        <v>573.4</v>
      </c>
      <c r="F25" s="587"/>
      <c r="G25" s="588"/>
      <c r="H25" s="587"/>
      <c r="I25" s="587"/>
      <c r="J25" s="587"/>
      <c r="K25" s="587"/>
      <c r="L25" s="587"/>
      <c r="M25" s="588"/>
      <c r="N25" s="587"/>
      <c r="O25" s="587"/>
    </row>
    <row r="26" spans="1:15">
      <c r="A26" s="590">
        <v>2002</v>
      </c>
      <c r="B26" s="404">
        <v>254.7</v>
      </c>
      <c r="C26" s="404">
        <v>165.80000000000004</v>
      </c>
      <c r="D26" s="404">
        <v>153.59999999999997</v>
      </c>
      <c r="E26" s="597">
        <v>574.09999999999991</v>
      </c>
      <c r="F26" s="587"/>
      <c r="G26" s="593"/>
      <c r="H26" s="592"/>
      <c r="I26" s="592"/>
      <c r="J26" s="592"/>
      <c r="K26" s="592"/>
      <c r="L26" s="592"/>
      <c r="M26" s="593"/>
      <c r="N26" s="592"/>
      <c r="O26" s="592"/>
    </row>
    <row r="27" spans="1:15">
      <c r="A27" s="757">
        <v>2003</v>
      </c>
      <c r="B27" s="766">
        <v>271.40000000000003</v>
      </c>
      <c r="C27" s="766">
        <v>164.6</v>
      </c>
      <c r="D27" s="766">
        <v>160.64999999999998</v>
      </c>
      <c r="E27" s="767">
        <v>596.65000000000009</v>
      </c>
      <c r="F27" s="587"/>
      <c r="G27" s="593"/>
      <c r="H27" s="592"/>
      <c r="I27" s="592"/>
      <c r="J27" s="592"/>
      <c r="K27" s="592"/>
      <c r="L27" s="592"/>
      <c r="M27" s="593"/>
      <c r="N27" s="592"/>
      <c r="O27" s="592"/>
    </row>
    <row r="28" spans="1:15">
      <c r="A28" s="586">
        <v>2004</v>
      </c>
      <c r="B28" s="200">
        <v>266.10000000000002</v>
      </c>
      <c r="C28" s="200">
        <v>162.4</v>
      </c>
      <c r="D28" s="200">
        <v>168.35</v>
      </c>
      <c r="E28" s="596">
        <v>596.85</v>
      </c>
      <c r="F28" s="587"/>
      <c r="G28" s="588"/>
      <c r="H28" s="587"/>
      <c r="I28" s="587"/>
      <c r="J28" s="587"/>
      <c r="K28" s="587"/>
      <c r="L28" s="587"/>
      <c r="M28" s="588"/>
      <c r="N28" s="587"/>
      <c r="O28" s="587"/>
    </row>
    <row r="29" spans="1:15">
      <c r="A29" s="762">
        <v>2005</v>
      </c>
      <c r="B29" s="766">
        <v>260.3</v>
      </c>
      <c r="C29" s="766">
        <v>164.6</v>
      </c>
      <c r="D29" s="766">
        <v>165</v>
      </c>
      <c r="E29" s="767">
        <v>589.90000000000009</v>
      </c>
      <c r="F29" s="587"/>
      <c r="G29" s="593"/>
      <c r="H29" s="592"/>
      <c r="I29" s="592"/>
      <c r="J29" s="592"/>
      <c r="K29" s="592"/>
      <c r="L29" s="592"/>
      <c r="M29" s="593"/>
      <c r="N29" s="592"/>
      <c r="O29" s="592"/>
    </row>
    <row r="30" spans="1:15">
      <c r="A30" s="586">
        <v>2006</v>
      </c>
      <c r="B30" s="200">
        <v>262.2</v>
      </c>
      <c r="C30" s="200">
        <v>163.1</v>
      </c>
      <c r="D30" s="200">
        <v>155.20000000000002</v>
      </c>
      <c r="E30" s="596">
        <v>580.5</v>
      </c>
      <c r="F30" s="587"/>
      <c r="G30" s="588"/>
      <c r="H30" s="587"/>
      <c r="I30" s="587"/>
      <c r="J30" s="587"/>
      <c r="K30" s="587"/>
      <c r="L30" s="587"/>
      <c r="M30" s="588"/>
      <c r="N30" s="587"/>
      <c r="O30" s="587"/>
    </row>
    <row r="31" spans="1:15">
      <c r="A31" s="753">
        <v>2007</v>
      </c>
      <c r="B31" s="764">
        <v>260.3</v>
      </c>
      <c r="C31" s="764">
        <v>165.8</v>
      </c>
      <c r="D31" s="764">
        <v>158.69999999999999</v>
      </c>
      <c r="E31" s="765">
        <v>584.79999999999995</v>
      </c>
      <c r="F31" s="587"/>
      <c r="G31" s="588"/>
      <c r="H31" s="587"/>
      <c r="I31" s="587"/>
      <c r="J31" s="587"/>
      <c r="K31" s="587"/>
      <c r="L31" s="587"/>
      <c r="M31" s="588"/>
      <c r="N31" s="587"/>
      <c r="O31" s="587"/>
    </row>
    <row r="32" spans="1:15">
      <c r="A32" s="586">
        <v>2008</v>
      </c>
      <c r="B32" s="200">
        <v>264.10000000000002</v>
      </c>
      <c r="C32" s="200">
        <v>165</v>
      </c>
      <c r="D32" s="200">
        <v>152.5</v>
      </c>
      <c r="E32" s="596">
        <v>581.6</v>
      </c>
      <c r="F32" s="587"/>
      <c r="G32" s="588"/>
      <c r="H32" s="587"/>
      <c r="I32" s="587"/>
      <c r="J32" s="587"/>
      <c r="K32" s="587"/>
      <c r="L32" s="587"/>
      <c r="M32" s="588"/>
      <c r="N32" s="587"/>
      <c r="O32" s="587"/>
    </row>
    <row r="33" spans="1:15">
      <c r="A33" s="753">
        <v>2009</v>
      </c>
      <c r="B33" s="764">
        <v>277</v>
      </c>
      <c r="C33" s="764">
        <v>160.1</v>
      </c>
      <c r="D33" s="764">
        <v>152.9</v>
      </c>
      <c r="E33" s="765">
        <v>590</v>
      </c>
      <c r="F33" s="587"/>
      <c r="G33" s="588"/>
      <c r="H33" s="587"/>
      <c r="I33" s="587"/>
      <c r="J33" s="587"/>
      <c r="K33" s="587"/>
      <c r="L33" s="587"/>
      <c r="M33" s="588"/>
      <c r="N33" s="587"/>
      <c r="O33" s="587"/>
    </row>
    <row r="34" spans="1:15">
      <c r="A34" s="586">
        <v>2010</v>
      </c>
      <c r="B34" s="200">
        <v>284</v>
      </c>
      <c r="C34" s="200">
        <v>167</v>
      </c>
      <c r="D34" s="200">
        <v>155</v>
      </c>
      <c r="E34" s="596">
        <v>606</v>
      </c>
      <c r="F34" s="587"/>
      <c r="G34" s="588"/>
      <c r="H34" s="587"/>
      <c r="I34" s="587"/>
      <c r="J34" s="587"/>
      <c r="K34" s="587"/>
      <c r="L34" s="587"/>
      <c r="M34" s="588"/>
      <c r="N34" s="587"/>
      <c r="O34" s="587"/>
    </row>
    <row r="35" spans="1:15">
      <c r="A35" s="753">
        <v>2011</v>
      </c>
      <c r="B35" s="764">
        <v>288</v>
      </c>
      <c r="C35" s="764">
        <v>162</v>
      </c>
      <c r="D35" s="764">
        <v>152</v>
      </c>
      <c r="E35" s="765">
        <v>602</v>
      </c>
      <c r="F35" s="587"/>
      <c r="G35" s="588"/>
      <c r="H35" s="587"/>
      <c r="I35" s="587"/>
      <c r="J35" s="587"/>
      <c r="K35" s="587"/>
      <c r="L35" s="587"/>
      <c r="M35" s="588"/>
      <c r="N35" s="587"/>
      <c r="O35" s="587"/>
    </row>
    <row r="36" spans="1:15">
      <c r="A36" s="586">
        <v>2012</v>
      </c>
      <c r="B36" s="200">
        <v>292</v>
      </c>
      <c r="C36" s="200">
        <v>175</v>
      </c>
      <c r="D36" s="200">
        <v>157</v>
      </c>
      <c r="E36" s="596">
        <v>624</v>
      </c>
      <c r="F36" s="587"/>
      <c r="G36" s="588"/>
      <c r="H36" s="587"/>
      <c r="I36" s="587"/>
      <c r="J36" s="587"/>
      <c r="K36" s="587"/>
      <c r="L36" s="587"/>
      <c r="M36" s="588"/>
      <c r="N36" s="587"/>
      <c r="O36" s="587"/>
    </row>
    <row r="37" spans="1:15">
      <c r="A37" s="753">
        <v>2013</v>
      </c>
      <c r="B37" s="764">
        <v>297</v>
      </c>
      <c r="C37" s="764">
        <v>178</v>
      </c>
      <c r="D37" s="764">
        <v>174</v>
      </c>
      <c r="E37" s="765">
        <v>649</v>
      </c>
      <c r="F37" s="587"/>
      <c r="G37" s="588"/>
      <c r="H37" s="587"/>
      <c r="I37" s="587"/>
      <c r="J37" s="587"/>
      <c r="K37" s="587"/>
      <c r="L37" s="587"/>
      <c r="M37" s="588"/>
      <c r="N37" s="587"/>
      <c r="O37" s="587"/>
    </row>
    <row r="38" spans="1:15">
      <c r="A38" s="586">
        <v>2014</v>
      </c>
      <c r="B38" s="200">
        <v>293</v>
      </c>
      <c r="C38" s="200">
        <v>179</v>
      </c>
      <c r="D38" s="200">
        <v>169</v>
      </c>
      <c r="E38" s="596">
        <v>641</v>
      </c>
      <c r="F38" s="587"/>
      <c r="G38" s="588"/>
      <c r="H38" s="587"/>
      <c r="I38" s="587"/>
      <c r="J38" s="587"/>
      <c r="K38" s="587"/>
      <c r="L38" s="587"/>
      <c r="M38" s="588"/>
      <c r="N38" s="587"/>
      <c r="O38" s="587"/>
    </row>
    <row r="39" spans="1:15">
      <c r="A39" s="586"/>
      <c r="B39" s="200"/>
      <c r="C39" s="200"/>
      <c r="D39" s="200"/>
      <c r="E39" s="596"/>
      <c r="F39" s="587"/>
      <c r="G39" s="588"/>
      <c r="H39" s="587"/>
      <c r="I39" s="587"/>
      <c r="J39" s="587"/>
      <c r="K39" s="587"/>
      <c r="L39" s="587"/>
      <c r="M39" s="588"/>
      <c r="N39" s="587"/>
      <c r="O39" s="587"/>
    </row>
    <row r="40" spans="1:15" s="604" customFormat="1" ht="26.25" customHeight="1">
      <c r="A40" s="1055" t="s">
        <v>397</v>
      </c>
      <c r="B40" s="1055"/>
      <c r="C40" s="1055"/>
      <c r="D40" s="1055"/>
      <c r="E40" s="1055"/>
      <c r="F40" s="200"/>
      <c r="G40" s="200"/>
      <c r="H40" s="200"/>
      <c r="I40" s="200"/>
      <c r="J40" s="200"/>
      <c r="K40" s="200"/>
      <c r="L40" s="200"/>
      <c r="M40" s="200"/>
      <c r="N40" s="200"/>
      <c r="O40" s="200"/>
    </row>
    <row r="41" spans="1:15" s="967" customFormat="1" ht="18" customHeight="1">
      <c r="A41" s="318" t="s">
        <v>482</v>
      </c>
      <c r="B41" s="318"/>
      <c r="C41" s="318"/>
      <c r="D41" s="318"/>
      <c r="E41" s="318"/>
      <c r="F41" s="966"/>
      <c r="G41" s="966"/>
      <c r="H41" s="966"/>
      <c r="I41" s="966"/>
      <c r="J41" s="966"/>
      <c r="K41" s="966"/>
      <c r="L41" s="966"/>
      <c r="M41" s="966"/>
      <c r="N41" s="966"/>
      <c r="O41" s="966"/>
    </row>
    <row r="42" spans="1:15" s="604" customFormat="1" ht="29.25" customHeight="1">
      <c r="A42" s="1054" t="s">
        <v>521</v>
      </c>
      <c r="B42" s="1054"/>
      <c r="C42" s="1054"/>
      <c r="D42" s="1054"/>
      <c r="E42" s="1054"/>
      <c r="F42" s="404"/>
      <c r="G42" s="404"/>
      <c r="H42" s="404"/>
      <c r="I42" s="404"/>
      <c r="J42" s="404"/>
      <c r="K42" s="404"/>
      <c r="L42" s="404"/>
      <c r="M42" s="404"/>
      <c r="N42" s="404"/>
      <c r="O42" s="404"/>
    </row>
    <row r="43" spans="1:15" s="604" customFormat="1">
      <c r="A43" s="1054" t="s">
        <v>535</v>
      </c>
      <c r="B43" s="1054"/>
      <c r="C43" s="1054"/>
      <c r="D43" s="1054"/>
      <c r="E43" s="1054"/>
    </row>
  </sheetData>
  <mergeCells count="3">
    <mergeCell ref="A42:E42"/>
    <mergeCell ref="A40:E40"/>
    <mergeCell ref="A43:E4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6" tint="0.39997558519241921"/>
  </sheetPr>
  <dimension ref="A1:S57"/>
  <sheetViews>
    <sheetView showGridLines="0" zoomScaleNormal="100" workbookViewId="0">
      <pane ySplit="6" topLeftCell="A7" activePane="bottomLeft" state="frozen"/>
      <selection pane="bottomLeft" activeCell="B1" sqref="B1"/>
    </sheetView>
  </sheetViews>
  <sheetFormatPr defaultColWidth="9.1328125" defaultRowHeight="14.25"/>
  <cols>
    <col min="1" max="1" width="9" style="264" customWidth="1"/>
    <col min="2" max="6" width="16.73046875" style="264" customWidth="1"/>
    <col min="7" max="18" width="11.73046875" style="264" customWidth="1"/>
    <col min="19" max="16384" width="9.1328125" style="264"/>
  </cols>
  <sheetData>
    <row r="1" spans="1:6" ht="15.95" customHeight="1">
      <c r="A1" s="524" t="str">
        <f>IF(språk=lista[[#Headers],[Svenska]],"Innehåll",IF(språk=lista[[#Headers],[English]],"Contents","FEL"))</f>
        <v>Contents</v>
      </c>
    </row>
    <row r="2" spans="1:6" ht="15.95" customHeight="1"/>
    <row r="3" spans="1:6" s="263" customFormat="1" ht="15.95" customHeight="1">
      <c r="A3" s="266" t="str">
        <f>IFERROR(INDEX(lista[],MATCH($A5,lista[ID],0),MATCH(språk,lista[#Headers],0)),"")</f>
        <v>Energy prices for the residential and services sector, from 1970, real (2016) prices, öre/kWh</v>
      </c>
    </row>
    <row r="4" spans="1:6" ht="15.95" customHeight="1">
      <c r="A4" s="394"/>
    </row>
    <row r="5" spans="1:6" ht="15.95" hidden="1" customHeight="1">
      <c r="A5" s="264">
        <v>19</v>
      </c>
      <c r="B5" s="264" t="s">
        <v>647</v>
      </c>
      <c r="C5" s="264" t="s">
        <v>648</v>
      </c>
      <c r="D5" s="264" t="s">
        <v>649</v>
      </c>
      <c r="E5" s="264" t="s">
        <v>650</v>
      </c>
      <c r="F5" s="264" t="s">
        <v>651</v>
      </c>
    </row>
    <row r="6" spans="1:6" ht="52.5">
      <c r="A6" s="407"/>
      <c r="B6" s="408" t="str">
        <f>IFERROR(INDEX(_3.6[],MATCH(språk,_3.6[[id]:[id]],0),MATCH(B$5,_3.6[#Headers],0)),"")</f>
        <v>Electricity price, detached house without electric heating</v>
      </c>
      <c r="C6" s="408" t="str">
        <f>IFERROR(INDEX(_3.6[],MATCH(språk,_3.6[[id]:[id]],0),MATCH(C$5,_3.6[#Headers],0)),"")</f>
        <v>Electricity price, detached house with electric heating</v>
      </c>
      <c r="D6" s="408" t="str">
        <f>IFERROR(INDEX(_3.6[],MATCH(språk,_3.6[[id]:[id]],0),MATCH(D$5,_3.6[#Headers],0)),"")</f>
        <v>Oil price, domestic fuel oil</v>
      </c>
      <c r="E6" s="408" t="str">
        <f>IFERROR(INDEX(_3.6[],MATCH(språk,_3.6[[id]:[id]],0),MATCH(E$5,_3.6[#Headers],0)),"")</f>
        <v>District heating price, apartment building</v>
      </c>
      <c r="F6" s="408" t="str">
        <f>IFERROR(INDEX(_3.6[],MATCH(språk,_3.6[[id]:[id]],0),MATCH(F$5,_3.6[#Headers],0)),"")</f>
        <v>Natural gas price</v>
      </c>
    </row>
    <row r="7" spans="1:6" ht="15.95" customHeight="1">
      <c r="A7" s="906">
        <v>1970</v>
      </c>
      <c r="B7" s="907"/>
      <c r="C7" s="907">
        <v>58.191525423728812</v>
      </c>
      <c r="D7" s="907">
        <v>13.782203389830508</v>
      </c>
      <c r="E7" s="907"/>
      <c r="F7" s="908"/>
    </row>
    <row r="8" spans="1:6" ht="15.95" customHeight="1">
      <c r="A8" s="625">
        <v>1971</v>
      </c>
      <c r="B8" s="641"/>
      <c r="C8" s="641">
        <v>55.490551181102369</v>
      </c>
      <c r="D8" s="641">
        <v>14.939763779527562</v>
      </c>
      <c r="E8" s="641"/>
      <c r="F8" s="642"/>
    </row>
    <row r="9" spans="1:6" ht="15.95" customHeight="1">
      <c r="A9" s="906">
        <v>1972</v>
      </c>
      <c r="B9" s="907"/>
      <c r="C9" s="907">
        <v>54.411524163568764</v>
      </c>
      <c r="D9" s="907">
        <v>12.763197026022304</v>
      </c>
      <c r="E9" s="907"/>
      <c r="F9" s="908"/>
    </row>
    <row r="10" spans="1:6" ht="15.95" customHeight="1">
      <c r="A10" s="625">
        <v>1973</v>
      </c>
      <c r="B10" s="641"/>
      <c r="C10" s="641">
        <v>52.258188153310115</v>
      </c>
      <c r="D10" s="641">
        <v>17.629268292682926</v>
      </c>
      <c r="E10" s="641"/>
      <c r="F10" s="642"/>
    </row>
    <row r="11" spans="1:6" ht="15.95" customHeight="1">
      <c r="A11" s="906">
        <v>1974</v>
      </c>
      <c r="B11" s="907"/>
      <c r="C11" s="907">
        <v>60.614556962025311</v>
      </c>
      <c r="D11" s="907">
        <v>26.876265822784809</v>
      </c>
      <c r="E11" s="907"/>
      <c r="F11" s="908"/>
    </row>
    <row r="12" spans="1:6" ht="15.95" customHeight="1">
      <c r="A12" s="625">
        <v>1975</v>
      </c>
      <c r="B12" s="641"/>
      <c r="C12" s="641">
        <v>63.531412103746398</v>
      </c>
      <c r="D12" s="641">
        <v>22.392219020172909</v>
      </c>
      <c r="E12" s="641"/>
      <c r="F12" s="642"/>
    </row>
    <row r="13" spans="1:6" ht="15.95" customHeight="1">
      <c r="A13" s="906">
        <v>1976</v>
      </c>
      <c r="B13" s="907"/>
      <c r="C13" s="907">
        <v>64.806020942408367</v>
      </c>
      <c r="D13" s="907">
        <v>26.490052356020939</v>
      </c>
      <c r="E13" s="907"/>
      <c r="F13" s="908"/>
    </row>
    <row r="14" spans="1:6" ht="15.95" customHeight="1">
      <c r="A14" s="625">
        <v>1977</v>
      </c>
      <c r="B14" s="641"/>
      <c r="C14" s="641">
        <v>67.02018779342724</v>
      </c>
      <c r="D14" s="641">
        <v>25.450704225352116</v>
      </c>
      <c r="E14" s="641"/>
      <c r="F14" s="642"/>
    </row>
    <row r="15" spans="1:6" ht="15.95" customHeight="1">
      <c r="A15" s="906">
        <v>1978</v>
      </c>
      <c r="B15" s="907"/>
      <c r="C15" s="907">
        <v>75.901705756929644</v>
      </c>
      <c r="D15" s="907">
        <v>24.658422174840087</v>
      </c>
      <c r="E15" s="907"/>
      <c r="F15" s="908"/>
    </row>
    <row r="16" spans="1:6" ht="15.95" customHeight="1">
      <c r="A16" s="625">
        <v>1979</v>
      </c>
      <c r="B16" s="641"/>
      <c r="C16" s="641">
        <v>70.91215139442231</v>
      </c>
      <c r="D16" s="641">
        <v>33.116334661354585</v>
      </c>
      <c r="E16" s="641"/>
      <c r="F16" s="642"/>
    </row>
    <row r="17" spans="1:6" ht="15.95" customHeight="1">
      <c r="A17" s="906">
        <v>1980</v>
      </c>
      <c r="B17" s="907"/>
      <c r="C17" s="907">
        <v>74.685113835376541</v>
      </c>
      <c r="D17" s="907">
        <v>42.72241681260946</v>
      </c>
      <c r="E17" s="907"/>
      <c r="F17" s="908"/>
    </row>
    <row r="18" spans="1:6" ht="15.95" customHeight="1">
      <c r="A18" s="625">
        <v>1981</v>
      </c>
      <c r="B18" s="641"/>
      <c r="C18" s="641">
        <v>70.303593750000005</v>
      </c>
      <c r="D18" s="641">
        <v>47.151406250000001</v>
      </c>
      <c r="E18" s="641"/>
      <c r="F18" s="642"/>
    </row>
    <row r="19" spans="1:6" ht="15.95" customHeight="1">
      <c r="A19" s="906">
        <v>1982</v>
      </c>
      <c r="B19" s="907"/>
      <c r="C19" s="907">
        <v>69.16</v>
      </c>
      <c r="D19" s="907">
        <v>55.639999999999986</v>
      </c>
      <c r="E19" s="907"/>
      <c r="F19" s="908"/>
    </row>
    <row r="20" spans="1:6" ht="15.95" customHeight="1">
      <c r="A20" s="625">
        <v>1983</v>
      </c>
      <c r="B20" s="641"/>
      <c r="C20" s="641">
        <v>69.701981505944516</v>
      </c>
      <c r="D20" s="641">
        <v>53.947424042272125</v>
      </c>
      <c r="E20" s="641"/>
      <c r="F20" s="642"/>
    </row>
    <row r="21" spans="1:6" ht="15.95" customHeight="1">
      <c r="A21" s="906">
        <v>1984</v>
      </c>
      <c r="B21" s="907"/>
      <c r="C21" s="907">
        <v>68.480440097799502</v>
      </c>
      <c r="D21" s="907">
        <v>54.121638141809285</v>
      </c>
      <c r="E21" s="907"/>
      <c r="F21" s="908"/>
    </row>
    <row r="22" spans="1:6" ht="15.95" customHeight="1">
      <c r="A22" s="625">
        <v>1985</v>
      </c>
      <c r="B22" s="641"/>
      <c r="C22" s="641">
        <v>70.592369020501124</v>
      </c>
      <c r="D22" s="641">
        <v>61.330979498861041</v>
      </c>
      <c r="E22" s="641"/>
      <c r="F22" s="642"/>
    </row>
    <row r="23" spans="1:6" ht="15.95" customHeight="1">
      <c r="A23" s="906">
        <v>1986</v>
      </c>
      <c r="B23" s="908"/>
      <c r="C23" s="908">
        <v>71.687540983606539</v>
      </c>
      <c r="D23" s="908">
        <v>43.446994535519124</v>
      </c>
      <c r="E23" s="908">
        <v>48.384153005464476</v>
      </c>
      <c r="F23" s="908"/>
    </row>
    <row r="24" spans="1:6">
      <c r="A24" s="626">
        <v>1987</v>
      </c>
      <c r="B24" s="641"/>
      <c r="C24" s="641">
        <v>69.893396226415092</v>
      </c>
      <c r="D24" s="641">
        <v>41.860272536687631</v>
      </c>
      <c r="E24" s="641">
        <v>49.43679245283019</v>
      </c>
      <c r="F24" s="642"/>
    </row>
    <row r="25" spans="1:6" ht="15.95" customHeight="1">
      <c r="A25" s="906">
        <v>1988</v>
      </c>
      <c r="B25" s="908"/>
      <c r="C25" s="908">
        <v>63.039048562933601</v>
      </c>
      <c r="D25" s="909">
        <v>40.653022794846379</v>
      </c>
      <c r="E25" s="908">
        <v>46.383845391476704</v>
      </c>
      <c r="F25" s="908"/>
    </row>
    <row r="26" spans="1:6">
      <c r="A26" s="626">
        <v>1989</v>
      </c>
      <c r="B26" s="641"/>
      <c r="C26" s="641">
        <v>65.785567970204838</v>
      </c>
      <c r="D26" s="641">
        <v>45.932122905027931</v>
      </c>
      <c r="E26" s="641">
        <v>49.633612662942269</v>
      </c>
      <c r="F26" s="642"/>
    </row>
    <row r="27" spans="1:6">
      <c r="A27" s="906">
        <v>1990</v>
      </c>
      <c r="B27" s="907"/>
      <c r="C27" s="907">
        <v>72.767144060657117</v>
      </c>
      <c r="D27" s="907">
        <v>49.780033698399329</v>
      </c>
      <c r="E27" s="907">
        <v>62.567565290648695</v>
      </c>
      <c r="F27" s="908"/>
    </row>
    <row r="28" spans="1:6">
      <c r="A28" s="626">
        <v>1991</v>
      </c>
      <c r="B28" s="641"/>
      <c r="C28" s="641">
        <v>75.372937548188119</v>
      </c>
      <c r="D28" s="641">
        <v>47.926599845797995</v>
      </c>
      <c r="E28" s="641">
        <v>57.26114109483423</v>
      </c>
      <c r="F28" s="642"/>
    </row>
    <row r="29" spans="1:6">
      <c r="A29" s="906">
        <v>1992</v>
      </c>
      <c r="B29" s="907"/>
      <c r="C29" s="907">
        <v>76.800904295403157</v>
      </c>
      <c r="D29" s="907">
        <v>42.077091183119812</v>
      </c>
      <c r="E29" s="907">
        <v>54.741070082893742</v>
      </c>
      <c r="F29" s="908"/>
    </row>
    <row r="30" spans="1:6">
      <c r="A30" s="626">
        <v>1993</v>
      </c>
      <c r="B30" s="641"/>
      <c r="C30" s="641">
        <v>78.056155507559396</v>
      </c>
      <c r="D30" s="641">
        <v>48.915190784737227</v>
      </c>
      <c r="E30" s="641">
        <v>51.907343412526998</v>
      </c>
      <c r="F30" s="642"/>
    </row>
    <row r="31" spans="1:6">
      <c r="A31" s="906">
        <v>1994</v>
      </c>
      <c r="B31" s="907"/>
      <c r="C31" s="907">
        <v>77.297322057787184</v>
      </c>
      <c r="D31" s="907">
        <v>45.461522198731508</v>
      </c>
      <c r="E31" s="907">
        <v>51.573995771670191</v>
      </c>
      <c r="F31" s="908"/>
    </row>
    <row r="32" spans="1:6">
      <c r="A32" s="626">
        <v>1995</v>
      </c>
      <c r="B32" s="641"/>
      <c r="C32" s="641">
        <v>77.123505154639176</v>
      </c>
      <c r="D32" s="641">
        <v>47.317319587628866</v>
      </c>
      <c r="E32" s="641">
        <v>51.043092783505159</v>
      </c>
      <c r="F32" s="642"/>
    </row>
    <row r="33" spans="1:6">
      <c r="A33" s="906">
        <v>1996</v>
      </c>
      <c r="B33" s="907">
        <v>100.47266073871411</v>
      </c>
      <c r="C33" s="907">
        <v>78.484610123119012</v>
      </c>
      <c r="D33" s="907">
        <v>46.596622024623798</v>
      </c>
      <c r="E33" s="907">
        <v>57.460622435020518</v>
      </c>
      <c r="F33" s="908">
        <v>45.122558429997028</v>
      </c>
    </row>
    <row r="34" spans="1:6">
      <c r="A34" s="625">
        <v>1997</v>
      </c>
      <c r="B34" s="641">
        <v>105.30787610619468</v>
      </c>
      <c r="C34" s="641">
        <v>86.22920353982299</v>
      </c>
      <c r="D34" s="641">
        <v>58.144216637168142</v>
      </c>
      <c r="E34" s="641">
        <v>58.712123893805298</v>
      </c>
      <c r="F34" s="642">
        <v>45.877343829098386</v>
      </c>
    </row>
    <row r="35" spans="1:6">
      <c r="A35" s="906">
        <v>1998</v>
      </c>
      <c r="B35" s="907">
        <v>112.65727334696659</v>
      </c>
      <c r="C35" s="907">
        <v>90.707211997273362</v>
      </c>
      <c r="D35" s="907">
        <v>73.991316455351054</v>
      </c>
      <c r="E35" s="907">
        <v>58.890708929788687</v>
      </c>
      <c r="F35" s="908">
        <v>48.157065768825909</v>
      </c>
    </row>
    <row r="36" spans="1:6">
      <c r="A36" s="625">
        <v>1999</v>
      </c>
      <c r="B36" s="641">
        <v>105.50232021709633</v>
      </c>
      <c r="C36" s="641">
        <v>91.367510176390766</v>
      </c>
      <c r="D36" s="641">
        <v>73.639932998643147</v>
      </c>
      <c r="E36" s="641">
        <v>59.554993215739479</v>
      </c>
      <c r="F36" s="642">
        <v>45.721721902948119</v>
      </c>
    </row>
    <row r="37" spans="1:6">
      <c r="A37" s="906">
        <v>2000</v>
      </c>
      <c r="B37" s="907">
        <v>106.41761584956348</v>
      </c>
      <c r="C37" s="907">
        <v>88.189852249832114</v>
      </c>
      <c r="D37" s="907">
        <v>78.039827669576908</v>
      </c>
      <c r="E37" s="907">
        <v>58.845822699798532</v>
      </c>
      <c r="F37" s="908">
        <v>47.445544313544403</v>
      </c>
    </row>
    <row r="38" spans="1:6">
      <c r="A38" s="625">
        <v>2001</v>
      </c>
      <c r="B38" s="641">
        <v>108.47924590163935</v>
      </c>
      <c r="C38" s="641">
        <v>88.643718032786893</v>
      </c>
      <c r="D38" s="641">
        <v>84.537076511475419</v>
      </c>
      <c r="E38" s="641">
        <v>62.824354098360665</v>
      </c>
      <c r="F38" s="642">
        <v>60.786246452970055</v>
      </c>
    </row>
    <row r="39" spans="1:6">
      <c r="A39" s="906">
        <v>2002</v>
      </c>
      <c r="B39" s="907">
        <v>121.21281771501927</v>
      </c>
      <c r="C39" s="907">
        <v>100.75358793324777</v>
      </c>
      <c r="D39" s="907">
        <v>72.276036795014875</v>
      </c>
      <c r="E39" s="907">
        <v>68.359807445442883</v>
      </c>
      <c r="F39" s="908">
        <v>66.054031880779647</v>
      </c>
    </row>
    <row r="40" spans="1:6">
      <c r="A40" s="625">
        <v>2003</v>
      </c>
      <c r="B40" s="641">
        <v>140.83903652392948</v>
      </c>
      <c r="C40" s="641">
        <v>116.44226070528968</v>
      </c>
      <c r="D40" s="641">
        <v>77.906761452096745</v>
      </c>
      <c r="E40" s="641">
        <v>70.197625944584374</v>
      </c>
      <c r="F40" s="642">
        <v>68.411053583499708</v>
      </c>
    </row>
    <row r="41" spans="1:6">
      <c r="A41" s="906">
        <v>2004</v>
      </c>
      <c r="B41" s="907">
        <v>138.92587829360102</v>
      </c>
      <c r="C41" s="907">
        <v>126.83008782936011</v>
      </c>
      <c r="D41" s="907">
        <v>89.549815682343166</v>
      </c>
      <c r="E41" s="907">
        <v>75.352126725219563</v>
      </c>
      <c r="F41" s="908">
        <v>72.520270716531229</v>
      </c>
    </row>
    <row r="42" spans="1:6">
      <c r="A42" s="625">
        <v>2005</v>
      </c>
      <c r="B42" s="641">
        <v>133.12657713928795</v>
      </c>
      <c r="C42" s="641">
        <v>122.05432854465958</v>
      </c>
      <c r="D42" s="641">
        <v>104.31591540881593</v>
      </c>
      <c r="E42" s="641">
        <v>75.451561524047463</v>
      </c>
      <c r="F42" s="642">
        <v>81.142248640229809</v>
      </c>
    </row>
    <row r="43" spans="1:6">
      <c r="A43" s="906">
        <v>2006</v>
      </c>
      <c r="B43" s="907">
        <v>148.73513863216266</v>
      </c>
      <c r="C43" s="907">
        <v>126.81287738755393</v>
      </c>
      <c r="D43" s="907">
        <v>110.86426742461538</v>
      </c>
      <c r="E43" s="907">
        <v>77.067492298213182</v>
      </c>
      <c r="F43" s="908">
        <v>94.110889591140463</v>
      </c>
    </row>
    <row r="44" spans="1:6">
      <c r="A44" s="625">
        <v>2007</v>
      </c>
      <c r="B44" s="641">
        <v>160.11392405063293</v>
      </c>
      <c r="C44" s="641">
        <v>128.52682338758291</v>
      </c>
      <c r="D44" s="641">
        <v>109.65903608862109</v>
      </c>
      <c r="E44" s="641">
        <v>76.822007233273069</v>
      </c>
      <c r="F44" s="642">
        <v>93.12748643761303</v>
      </c>
    </row>
    <row r="45" spans="1:6">
      <c r="A45" s="906">
        <v>2008</v>
      </c>
      <c r="B45" s="907">
        <v>174.27651515151516</v>
      </c>
      <c r="C45" s="907">
        <v>138.47348484848484</v>
      </c>
      <c r="D45" s="907">
        <v>130.29089259428417</v>
      </c>
      <c r="E45" s="907">
        <v>77.345075757575756</v>
      </c>
      <c r="F45" s="908">
        <v>104.77651515151514</v>
      </c>
    </row>
    <row r="46" spans="1:6">
      <c r="A46" s="625">
        <v>2009</v>
      </c>
      <c r="B46" s="641">
        <v>182.17855055523086</v>
      </c>
      <c r="C46" s="641">
        <v>145.21478667445939</v>
      </c>
      <c r="D46" s="641">
        <v>110.59674908734202</v>
      </c>
      <c r="E46" s="641">
        <v>81.151303331385151</v>
      </c>
      <c r="F46" s="642">
        <v>104.02659263588545</v>
      </c>
    </row>
    <row r="47" spans="1:6">
      <c r="A47" s="906">
        <v>2010</v>
      </c>
      <c r="B47" s="907">
        <v>188.72879399884593</v>
      </c>
      <c r="C47" s="907">
        <v>149.10617426428158</v>
      </c>
      <c r="D47" s="907">
        <v>120.58648116520281</v>
      </c>
      <c r="E47" s="907">
        <v>82.029249855741483</v>
      </c>
      <c r="F47" s="908">
        <v>105.31275245239469</v>
      </c>
    </row>
    <row r="48" spans="1:6">
      <c r="A48" s="625">
        <v>2011</v>
      </c>
      <c r="B48" s="641">
        <v>189.54190101237347</v>
      </c>
      <c r="C48" s="641">
        <v>147.36501687289089</v>
      </c>
      <c r="D48" s="641">
        <v>131.97225441040976</v>
      </c>
      <c r="E48" s="641">
        <v>81.284510686164239</v>
      </c>
      <c r="F48" s="642">
        <v>111.28599550056244</v>
      </c>
    </row>
    <row r="49" spans="1:19">
      <c r="A49" s="906">
        <v>2012</v>
      </c>
      <c r="B49" s="908">
        <v>180.29710144927537</v>
      </c>
      <c r="C49" s="908">
        <v>136.98550724637681</v>
      </c>
      <c r="D49" s="908">
        <v>139.13075643920081</v>
      </c>
      <c r="E49" s="908">
        <v>86.39152173913044</v>
      </c>
      <c r="F49" s="908">
        <v>108.78260869565217</v>
      </c>
    </row>
    <row r="50" spans="1:19">
      <c r="A50" s="626">
        <v>2013</v>
      </c>
      <c r="B50" s="641">
        <v>180.39765755716675</v>
      </c>
      <c r="C50" s="641">
        <v>136.55800334634691</v>
      </c>
      <c r="D50" s="641">
        <v>134.49596373763217</v>
      </c>
      <c r="E50" s="641">
        <v>89.422816508644729</v>
      </c>
      <c r="F50" s="642">
        <v>106.82766313441159</v>
      </c>
    </row>
    <row r="51" spans="1:19">
      <c r="A51" s="906">
        <v>2014</v>
      </c>
      <c r="B51" s="908">
        <v>176.1572625698324</v>
      </c>
      <c r="C51" s="908">
        <v>129.72039106145249</v>
      </c>
      <c r="D51" s="909">
        <v>131.90425310912102</v>
      </c>
      <c r="E51" s="908">
        <v>90.35</v>
      </c>
      <c r="F51" s="908">
        <v>106.50195530726256</v>
      </c>
    </row>
    <row r="52" spans="1:19" s="61" customFormat="1" ht="15.95" customHeight="1">
      <c r="A52" s="76">
        <v>2015</v>
      </c>
      <c r="B52" s="621">
        <v>175.75069871436557</v>
      </c>
      <c r="C52" s="621">
        <v>125.75265511458916</v>
      </c>
      <c r="D52" s="621">
        <v>118.97407664369922</v>
      </c>
      <c r="E52" s="621">
        <v>93.127669088876473</v>
      </c>
      <c r="F52" s="621">
        <v>109.08664058133036</v>
      </c>
      <c r="G52" s="621"/>
      <c r="H52" s="621"/>
      <c r="I52" s="619"/>
      <c r="J52" s="244"/>
      <c r="K52" s="70"/>
      <c r="L52" s="70"/>
      <c r="M52" s="70"/>
      <c r="N52" s="70"/>
      <c r="O52" s="70"/>
      <c r="P52" s="70"/>
      <c r="Q52" s="70"/>
      <c r="R52" s="70"/>
      <c r="S52" s="70"/>
    </row>
    <row r="53" spans="1:19">
      <c r="A53" s="906">
        <v>2016</v>
      </c>
      <c r="B53" s="1032">
        <v>182.5</v>
      </c>
      <c r="C53" s="1032">
        <v>129.5</v>
      </c>
      <c r="D53" s="1033">
        <v>108.50165812481158</v>
      </c>
      <c r="E53" s="1032">
        <v>94.4</v>
      </c>
      <c r="F53" s="1032">
        <v>107.5</v>
      </c>
    </row>
    <row r="55" spans="1:19">
      <c r="A55" s="507" t="s">
        <v>225</v>
      </c>
      <c r="B55" s="415"/>
      <c r="C55" s="415"/>
      <c r="D55" s="415"/>
      <c r="E55" s="415"/>
      <c r="F55" s="415"/>
      <c r="G55" s="415"/>
    </row>
    <row r="56" spans="1:19">
      <c r="A56" s="415" t="s">
        <v>482</v>
      </c>
      <c r="B56" s="415"/>
      <c r="C56" s="415"/>
      <c r="D56" s="415"/>
      <c r="E56" s="415"/>
      <c r="F56" s="415"/>
      <c r="G56" s="415"/>
    </row>
    <row r="57" spans="1:19">
      <c r="A57" s="415" t="s">
        <v>490</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0"/>
  </sheetPr>
  <dimension ref="A1:J58"/>
  <sheetViews>
    <sheetView showGridLines="0" showWhiteSpace="0" zoomScaleNormal="100" workbookViewId="0">
      <pane ySplit="6" topLeftCell="A7" activePane="bottomLeft" state="frozen"/>
      <selection pane="bottomLeft" activeCell="C1" sqref="C1"/>
    </sheetView>
  </sheetViews>
  <sheetFormatPr defaultColWidth="9.1328125" defaultRowHeight="13.15"/>
  <cols>
    <col min="1" max="1" width="8.1328125" style="70" customWidth="1"/>
    <col min="2" max="2" width="12.1328125" style="70" customWidth="1"/>
    <col min="3" max="3" width="16.59765625" style="70" customWidth="1"/>
    <col min="4" max="4" width="17.265625" style="70" customWidth="1"/>
    <col min="5" max="7" width="10.73046875" style="70" customWidth="1"/>
    <col min="8" max="8" width="9.1328125" style="70" customWidth="1"/>
    <col min="9" max="9" width="10.73046875" style="88" customWidth="1"/>
    <col min="10" max="10" width="14.1328125" style="70" customWidth="1"/>
    <col min="11" max="16384" width="9.1328125" style="70"/>
  </cols>
  <sheetData>
    <row r="1" spans="1:9" ht="15.95" customHeight="1">
      <c r="A1" s="524" t="str">
        <f>IF(språk=lista[[#Headers],[Svenska]],"Innehåll",IF(språk=lista[[#Headers],[English]],"Contents","FEL"))</f>
        <v>Contents</v>
      </c>
    </row>
    <row r="2" spans="1:9" ht="15.95" customHeight="1"/>
    <row r="3" spans="1:9" ht="15.95" customHeight="1">
      <c r="A3" s="409" t="str">
        <f>IFERROR(INDEX(lista[],MATCH($A5,lista[ID],0),MATCH(språk,lista[#Headers],0)),"")</f>
        <v>Final energy use in industry, by energy carrier, from 1970, TWh</v>
      </c>
      <c r="B3" s="409"/>
      <c r="C3" s="409"/>
      <c r="D3" s="409"/>
      <c r="E3" s="409"/>
      <c r="F3" s="409"/>
      <c r="G3" s="409"/>
      <c r="H3" s="409"/>
      <c r="I3" s="409"/>
    </row>
    <row r="4" spans="1:9" s="267" customFormat="1" ht="15.95" customHeight="1">
      <c r="A4" s="393"/>
    </row>
    <row r="5" spans="1:9" s="267" customFormat="1" ht="15.95" hidden="1" customHeight="1">
      <c r="A5" s="393">
        <v>21</v>
      </c>
      <c r="B5" s="267" t="s">
        <v>647</v>
      </c>
      <c r="C5" s="267" t="s">
        <v>648</v>
      </c>
      <c r="D5" s="267" t="s">
        <v>649</v>
      </c>
      <c r="E5" s="267" t="s">
        <v>650</v>
      </c>
      <c r="F5" s="267" t="s">
        <v>651</v>
      </c>
      <c r="G5" s="267" t="s">
        <v>652</v>
      </c>
      <c r="H5" s="267" t="s">
        <v>653</v>
      </c>
    </row>
    <row r="6" spans="1:9" ht="42.75" customHeight="1">
      <c r="A6" s="78"/>
      <c r="B6" s="79" t="str">
        <f>IFERROR(INDEX(_4.1[],MATCH(språk,_4.1[[id]:[id]],0),MATCH(B$5,_4.1[#Headers],0)),"")</f>
        <v>Biomass</v>
      </c>
      <c r="C6" s="79" t="str">
        <f>IFERROR(INDEX(_4.1[],MATCH(språk,_4.1[[id]:[id]],0),MATCH(C$5,_4.1[#Headers],0)),"")</f>
        <v>Coal and coke, incl. coke oven and blast furnace gases</v>
      </c>
      <c r="D6" s="79" t="str">
        <f>IFERROR(INDEX(_4.1[],MATCH(språk,_4.1[[id]:[id]],0),MATCH(D$5,_4.1[#Headers],0)),"")</f>
        <v>Petroleum products</v>
      </c>
      <c r="E6" s="79" t="str">
        <f>IFERROR(INDEX(_4.1[],MATCH(språk,_4.1[[id]:[id]],0),MATCH(E$5,_4.1[#Headers],0)),"")</f>
        <v>Natural gas, gasworks gas</v>
      </c>
      <c r="F6" s="79" t="str">
        <f>IFERROR(INDEX(_4.1[],MATCH(språk,_4.1[[id]:[id]],0),MATCH(F$5,_4.1[#Headers],0)),"")</f>
        <v>Other fuels</v>
      </c>
      <c r="G6" s="79" t="str">
        <f>IFERROR(INDEX(_4.1[],MATCH(språk,_4.1[[id]:[id]],0),MATCH(G$5,_4.1[#Headers],0)),"")</f>
        <v>District heating</v>
      </c>
      <c r="H6" s="79" t="str">
        <f>IFERROR(INDEX(_4.1[],MATCH(språk,_4.1[[id]:[id]],0),MATCH(H$5,_4.1[#Headers],0)),"")</f>
        <v>Electricity</v>
      </c>
      <c r="I6" s="80" t="str">
        <f>IF(språk=lista[[#Headers],[Svenska]],"Totalt",IF(språk=lista[[#Headers],[English]],"Total","FEL"))</f>
        <v>Total</v>
      </c>
    </row>
    <row r="7" spans="1:9" ht="15.95" customHeight="1">
      <c r="A7" s="768">
        <v>1970</v>
      </c>
      <c r="B7" s="769">
        <v>32.700000000000003</v>
      </c>
      <c r="C7" s="769">
        <v>14.2</v>
      </c>
      <c r="D7" s="769">
        <v>74.2</v>
      </c>
      <c r="E7" s="770">
        <v>0</v>
      </c>
      <c r="F7" s="769"/>
      <c r="G7" s="770">
        <v>0</v>
      </c>
      <c r="H7" s="769">
        <v>33.1</v>
      </c>
      <c r="I7" s="771">
        <v>154.20000000000002</v>
      </c>
    </row>
    <row r="8" spans="1:9" ht="15.95" customHeight="1">
      <c r="A8" s="81">
        <v>1971</v>
      </c>
      <c r="B8" s="82">
        <v>31.3</v>
      </c>
      <c r="C8" s="82">
        <v>14.7</v>
      </c>
      <c r="D8" s="82">
        <v>71.2</v>
      </c>
      <c r="E8" s="83">
        <v>0</v>
      </c>
      <c r="F8" s="82"/>
      <c r="G8" s="83">
        <v>0</v>
      </c>
      <c r="H8" s="82">
        <v>33.9</v>
      </c>
      <c r="I8" s="623">
        <v>151.1</v>
      </c>
    </row>
    <row r="9" spans="1:9" ht="15.95" customHeight="1">
      <c r="A9" s="768">
        <v>1972</v>
      </c>
      <c r="B9" s="769">
        <v>32.4</v>
      </c>
      <c r="C9" s="769">
        <v>14</v>
      </c>
      <c r="D9" s="769">
        <v>73.599999999999994</v>
      </c>
      <c r="E9" s="770">
        <v>0</v>
      </c>
      <c r="F9" s="769"/>
      <c r="G9" s="770">
        <v>0</v>
      </c>
      <c r="H9" s="769">
        <v>35.4</v>
      </c>
      <c r="I9" s="771">
        <v>155.4</v>
      </c>
    </row>
    <row r="10" spans="1:9" ht="15.95" customHeight="1">
      <c r="A10" s="81">
        <v>1973</v>
      </c>
      <c r="B10" s="82">
        <v>34.200000000000003</v>
      </c>
      <c r="C10" s="82">
        <v>16</v>
      </c>
      <c r="D10" s="82">
        <v>75.5</v>
      </c>
      <c r="E10" s="83">
        <v>0</v>
      </c>
      <c r="F10" s="82"/>
      <c r="G10" s="82">
        <v>0.8</v>
      </c>
      <c r="H10" s="82">
        <v>38.5</v>
      </c>
      <c r="I10" s="623">
        <v>165</v>
      </c>
    </row>
    <row r="11" spans="1:9" ht="15.95" customHeight="1">
      <c r="A11" s="768">
        <v>1974</v>
      </c>
      <c r="B11" s="769">
        <v>35.6</v>
      </c>
      <c r="C11" s="769">
        <v>17.399999999999999</v>
      </c>
      <c r="D11" s="769">
        <v>70.7</v>
      </c>
      <c r="E11" s="770">
        <v>0</v>
      </c>
      <c r="F11" s="769"/>
      <c r="G11" s="769">
        <v>1.1000000000000001</v>
      </c>
      <c r="H11" s="769">
        <v>39.200000000000003</v>
      </c>
      <c r="I11" s="771">
        <v>164</v>
      </c>
    </row>
    <row r="12" spans="1:9" ht="15.95" customHeight="1">
      <c r="A12" s="81">
        <v>1975</v>
      </c>
      <c r="B12" s="82">
        <v>36.200000000000003</v>
      </c>
      <c r="C12" s="82">
        <v>18.899999999999999</v>
      </c>
      <c r="D12" s="82">
        <v>65.599999999999994</v>
      </c>
      <c r="E12" s="83">
        <v>0</v>
      </c>
      <c r="F12" s="82"/>
      <c r="G12" s="82">
        <v>1.3</v>
      </c>
      <c r="H12" s="82">
        <v>37.9</v>
      </c>
      <c r="I12" s="623">
        <v>159.89999999999998</v>
      </c>
    </row>
    <row r="13" spans="1:9" ht="15.95" customHeight="1">
      <c r="A13" s="768">
        <v>1976</v>
      </c>
      <c r="B13" s="769">
        <v>34.6</v>
      </c>
      <c r="C13" s="769">
        <v>17.3</v>
      </c>
      <c r="D13" s="769">
        <v>66.3</v>
      </c>
      <c r="E13" s="770">
        <v>0</v>
      </c>
      <c r="F13" s="769"/>
      <c r="G13" s="769">
        <v>1.7</v>
      </c>
      <c r="H13" s="769">
        <v>39.200000000000003</v>
      </c>
      <c r="I13" s="771">
        <v>159.10000000000002</v>
      </c>
    </row>
    <row r="14" spans="1:9" ht="15.95" customHeight="1">
      <c r="A14" s="81">
        <v>1977</v>
      </c>
      <c r="B14" s="82">
        <v>32.200000000000003</v>
      </c>
      <c r="C14" s="82">
        <v>13.9</v>
      </c>
      <c r="D14" s="82">
        <v>62.6</v>
      </c>
      <c r="E14" s="83">
        <v>0</v>
      </c>
      <c r="F14" s="82"/>
      <c r="G14" s="82">
        <v>1.9</v>
      </c>
      <c r="H14" s="82">
        <v>37.700000000000003</v>
      </c>
      <c r="I14" s="623">
        <v>148.30000000000001</v>
      </c>
    </row>
    <row r="15" spans="1:9" ht="15.95" customHeight="1">
      <c r="A15" s="768">
        <v>1978</v>
      </c>
      <c r="B15" s="769">
        <v>34.700000000000003</v>
      </c>
      <c r="C15" s="769">
        <v>14.8</v>
      </c>
      <c r="D15" s="769">
        <v>60.4</v>
      </c>
      <c r="E15" s="770">
        <v>0</v>
      </c>
      <c r="F15" s="769"/>
      <c r="G15" s="769">
        <v>2.2000000000000002</v>
      </c>
      <c r="H15" s="769">
        <v>38.5</v>
      </c>
      <c r="I15" s="771">
        <v>150.60000000000002</v>
      </c>
    </row>
    <row r="16" spans="1:9" ht="15.95" customHeight="1">
      <c r="A16" s="81">
        <v>1979</v>
      </c>
      <c r="B16" s="82">
        <v>35.9</v>
      </c>
      <c r="C16" s="82">
        <v>16.600000000000001</v>
      </c>
      <c r="D16" s="82">
        <v>60.3</v>
      </c>
      <c r="E16" s="83">
        <v>0</v>
      </c>
      <c r="F16" s="82"/>
      <c r="G16" s="82">
        <v>2.2999999999999998</v>
      </c>
      <c r="H16" s="82">
        <v>40.5</v>
      </c>
      <c r="I16" s="623">
        <v>155.6</v>
      </c>
    </row>
    <row r="17" spans="1:9" ht="15.95" customHeight="1">
      <c r="A17" s="768">
        <v>1980</v>
      </c>
      <c r="B17" s="769">
        <v>35.200000000000003</v>
      </c>
      <c r="C17" s="769">
        <v>14.8</v>
      </c>
      <c r="D17" s="769">
        <v>54.8</v>
      </c>
      <c r="E17" s="770">
        <v>0</v>
      </c>
      <c r="F17" s="769"/>
      <c r="G17" s="769">
        <v>3.1</v>
      </c>
      <c r="H17" s="769">
        <v>39.799999999999997</v>
      </c>
      <c r="I17" s="771">
        <v>147.69999999999999</v>
      </c>
    </row>
    <row r="18" spans="1:9" ht="15.95" customHeight="1">
      <c r="A18" s="81">
        <v>1981</v>
      </c>
      <c r="B18" s="82">
        <v>34.5</v>
      </c>
      <c r="C18" s="82">
        <v>12.4</v>
      </c>
      <c r="D18" s="82">
        <v>47.8</v>
      </c>
      <c r="E18" s="83">
        <v>0</v>
      </c>
      <c r="F18" s="82"/>
      <c r="G18" s="82">
        <v>3</v>
      </c>
      <c r="H18" s="82">
        <v>39.9</v>
      </c>
      <c r="I18" s="623">
        <v>137.6</v>
      </c>
    </row>
    <row r="19" spans="1:9" ht="15.95" customHeight="1">
      <c r="A19" s="768">
        <v>1982</v>
      </c>
      <c r="B19" s="769">
        <v>32.299999999999997</v>
      </c>
      <c r="C19" s="769">
        <v>12.8</v>
      </c>
      <c r="D19" s="769">
        <v>40.799999999999997</v>
      </c>
      <c r="E19" s="770">
        <v>0</v>
      </c>
      <c r="F19" s="769"/>
      <c r="G19" s="769">
        <v>2.7</v>
      </c>
      <c r="H19" s="769">
        <v>39.1</v>
      </c>
      <c r="I19" s="771">
        <v>127.69999999999999</v>
      </c>
    </row>
    <row r="20" spans="1:9" ht="15.95" customHeight="1">
      <c r="A20" s="81">
        <v>1983</v>
      </c>
      <c r="B20" s="82">
        <v>36.971769999999999</v>
      </c>
      <c r="C20" s="82">
        <v>13.608888888888888</v>
      </c>
      <c r="D20" s="82">
        <v>33.834444444444443</v>
      </c>
      <c r="E20" s="82">
        <v>8.3888888888888888E-2</v>
      </c>
      <c r="F20" s="82">
        <v>0</v>
      </c>
      <c r="G20" s="82">
        <v>2.5</v>
      </c>
      <c r="H20" s="82">
        <v>42.113</v>
      </c>
      <c r="I20" s="623">
        <v>129.11199222222223</v>
      </c>
    </row>
    <row r="21" spans="1:9" ht="15.95" customHeight="1">
      <c r="A21" s="768">
        <v>1984</v>
      </c>
      <c r="B21" s="769">
        <v>40.27469</v>
      </c>
      <c r="C21" s="769">
        <v>14.801111111111112</v>
      </c>
      <c r="D21" s="769">
        <v>31.789166666666663</v>
      </c>
      <c r="E21" s="769">
        <v>7.4444444444444438E-2</v>
      </c>
      <c r="F21" s="769">
        <v>0</v>
      </c>
      <c r="G21" s="769">
        <v>2.6</v>
      </c>
      <c r="H21" s="769">
        <v>45.685000000000002</v>
      </c>
      <c r="I21" s="771">
        <v>135.22441222222221</v>
      </c>
    </row>
    <row r="22" spans="1:9" ht="15.95" customHeight="1">
      <c r="A22" s="81">
        <v>1985</v>
      </c>
      <c r="B22" s="82">
        <v>40.774780000000007</v>
      </c>
      <c r="C22" s="82">
        <v>15.639444444444443</v>
      </c>
      <c r="D22" s="82">
        <v>30.943055555555556</v>
      </c>
      <c r="E22" s="82">
        <v>0.75944444444444448</v>
      </c>
      <c r="F22" s="82">
        <v>0</v>
      </c>
      <c r="G22" s="82">
        <v>3.4</v>
      </c>
      <c r="H22" s="82">
        <v>47.985999999999997</v>
      </c>
      <c r="I22" s="623">
        <v>139.50272444444445</v>
      </c>
    </row>
    <row r="23" spans="1:9" ht="15.95" customHeight="1">
      <c r="A23" s="768">
        <v>1986</v>
      </c>
      <c r="B23" s="769">
        <v>40.94923</v>
      </c>
      <c r="C23" s="769">
        <v>15.493333333333332</v>
      </c>
      <c r="D23" s="769">
        <v>28.697777777777777</v>
      </c>
      <c r="E23" s="769">
        <v>1.6836111111111112</v>
      </c>
      <c r="F23" s="769">
        <v>0</v>
      </c>
      <c r="G23" s="769">
        <v>3.6</v>
      </c>
      <c r="H23" s="769">
        <v>47.933</v>
      </c>
      <c r="I23" s="771">
        <v>138.35695222222222</v>
      </c>
    </row>
    <row r="24" spans="1:9" ht="15.95" customHeight="1">
      <c r="A24" s="81">
        <v>1987</v>
      </c>
      <c r="B24" s="82">
        <v>41.868000000000009</v>
      </c>
      <c r="C24" s="82">
        <v>15.231111111111112</v>
      </c>
      <c r="D24" s="82">
        <v>27.022777777777776</v>
      </c>
      <c r="E24" s="82">
        <v>1.9705555555555554</v>
      </c>
      <c r="F24" s="82">
        <v>0</v>
      </c>
      <c r="G24" s="82">
        <v>4</v>
      </c>
      <c r="H24" s="82">
        <v>50.994</v>
      </c>
      <c r="I24" s="623">
        <v>141.08644444444445</v>
      </c>
    </row>
    <row r="25" spans="1:9" ht="15.95" customHeight="1">
      <c r="A25" s="768">
        <v>1988</v>
      </c>
      <c r="B25" s="769">
        <v>43.391529999999996</v>
      </c>
      <c r="C25" s="769">
        <v>15.966666666666667</v>
      </c>
      <c r="D25" s="769">
        <v>24.0425</v>
      </c>
      <c r="E25" s="769">
        <v>2.328611111111111</v>
      </c>
      <c r="F25" s="769">
        <v>0</v>
      </c>
      <c r="G25" s="769">
        <v>3.9670000000000001</v>
      </c>
      <c r="H25" s="769">
        <v>52.866999999999997</v>
      </c>
      <c r="I25" s="771">
        <v>142.56330777777777</v>
      </c>
    </row>
    <row r="26" spans="1:9" ht="15.95" customHeight="1">
      <c r="A26" s="81">
        <v>1989</v>
      </c>
      <c r="B26" s="82">
        <v>43.321750000000009</v>
      </c>
      <c r="C26" s="82">
        <v>16.260277777777777</v>
      </c>
      <c r="D26" s="82">
        <v>22.204722222222223</v>
      </c>
      <c r="E26" s="82">
        <v>2.7619444444444445</v>
      </c>
      <c r="F26" s="82">
        <v>0</v>
      </c>
      <c r="G26" s="82">
        <v>3.34</v>
      </c>
      <c r="H26" s="82">
        <v>53.442999999999998</v>
      </c>
      <c r="I26" s="623">
        <v>141.33169444444445</v>
      </c>
    </row>
    <row r="27" spans="1:9" ht="15.95" customHeight="1">
      <c r="A27" s="768">
        <v>1990</v>
      </c>
      <c r="B27" s="769">
        <v>42.665352800000001</v>
      </c>
      <c r="C27" s="769">
        <v>16.891111111111108</v>
      </c>
      <c r="D27" s="769">
        <v>20.781944444444445</v>
      </c>
      <c r="E27" s="769">
        <v>3.1927777777777777</v>
      </c>
      <c r="F27" s="769">
        <v>0.1214172</v>
      </c>
      <c r="G27" s="769">
        <v>3.5950000000000002</v>
      </c>
      <c r="H27" s="769">
        <v>52.993000000000002</v>
      </c>
      <c r="I27" s="771">
        <v>140.24060333333333</v>
      </c>
    </row>
    <row r="28" spans="1:9" ht="15.95" customHeight="1">
      <c r="A28" s="81">
        <v>1991</v>
      </c>
      <c r="B28" s="82">
        <v>44.286493389999997</v>
      </c>
      <c r="C28" s="82">
        <v>15.097222222222223</v>
      </c>
      <c r="D28" s="82">
        <v>18.191111111111109</v>
      </c>
      <c r="E28" s="82">
        <v>3</v>
      </c>
      <c r="F28" s="82">
        <v>8.1956609999999999E-2</v>
      </c>
      <c r="G28" s="82">
        <v>3.5870000000000002</v>
      </c>
      <c r="H28" s="82">
        <v>50.722999999999999</v>
      </c>
      <c r="I28" s="623">
        <v>134.96678333333335</v>
      </c>
    </row>
    <row r="29" spans="1:9" ht="15.95" customHeight="1">
      <c r="A29" s="768">
        <v>1992</v>
      </c>
      <c r="B29" s="769">
        <v>44.124220000000001</v>
      </c>
      <c r="C29" s="769">
        <v>14.523333333333332</v>
      </c>
      <c r="D29" s="769">
        <v>17.395555555555553</v>
      </c>
      <c r="E29" s="769">
        <v>3.1297222222222221</v>
      </c>
      <c r="F29" s="769">
        <v>0.12793000000000002</v>
      </c>
      <c r="G29" s="769">
        <v>3.3860000000000001</v>
      </c>
      <c r="H29" s="769">
        <v>49.694000000000003</v>
      </c>
      <c r="I29" s="771">
        <v>132.38076111111113</v>
      </c>
    </row>
    <row r="30" spans="1:9" ht="15.95" customHeight="1">
      <c r="A30" s="81">
        <v>1993</v>
      </c>
      <c r="B30" s="82">
        <v>45.560199359999999</v>
      </c>
      <c r="C30" s="82">
        <v>14.701388888888889</v>
      </c>
      <c r="D30" s="82">
        <v>18.98</v>
      </c>
      <c r="E30" s="82">
        <v>2.763611111111111</v>
      </c>
      <c r="F30" s="82">
        <v>0.16896064000000002</v>
      </c>
      <c r="G30" s="82">
        <v>3.7949999999999999</v>
      </c>
      <c r="H30" s="82">
        <v>49.353999999999999</v>
      </c>
      <c r="I30" s="623">
        <v>135.32316</v>
      </c>
    </row>
    <row r="31" spans="1:9" ht="15.95" customHeight="1">
      <c r="A31" s="768">
        <v>1994</v>
      </c>
      <c r="B31" s="769">
        <v>46.447940520000003</v>
      </c>
      <c r="C31" s="769">
        <v>15.117222222222223</v>
      </c>
      <c r="D31" s="769">
        <v>21.671388888888888</v>
      </c>
      <c r="E31" s="769">
        <v>2.8169444444444443</v>
      </c>
      <c r="F31" s="769">
        <v>0.14183948000000002</v>
      </c>
      <c r="G31" s="769">
        <v>3.8580000000000001</v>
      </c>
      <c r="H31" s="769">
        <v>49.777999999999999</v>
      </c>
      <c r="I31" s="771">
        <v>139.83133555555557</v>
      </c>
    </row>
    <row r="32" spans="1:9" ht="15.95" customHeight="1">
      <c r="A32" s="81">
        <v>1995</v>
      </c>
      <c r="B32" s="82">
        <v>48.892520000000005</v>
      </c>
      <c r="C32" s="82">
        <v>15.774722222222223</v>
      </c>
      <c r="D32" s="82">
        <v>22.883611111111108</v>
      </c>
      <c r="E32" s="82">
        <v>2.8883333333333336</v>
      </c>
      <c r="F32" s="82">
        <v>0.17445000000000002</v>
      </c>
      <c r="G32" s="82">
        <v>4.0469999999999997</v>
      </c>
      <c r="H32" s="82">
        <v>51.343000000000004</v>
      </c>
      <c r="I32" s="623">
        <v>146.00363666666667</v>
      </c>
    </row>
    <row r="33" spans="1:9" ht="15.95" customHeight="1">
      <c r="A33" s="768">
        <v>1996</v>
      </c>
      <c r="B33" s="769">
        <v>48.555250000000001</v>
      </c>
      <c r="C33" s="769">
        <v>15.995833333333332</v>
      </c>
      <c r="D33" s="769">
        <v>24.273055555555555</v>
      </c>
      <c r="E33" s="769">
        <v>3.1355555555555559</v>
      </c>
      <c r="F33" s="769">
        <v>0.12793000000000002</v>
      </c>
      <c r="G33" s="769">
        <v>4.3659999999999997</v>
      </c>
      <c r="H33" s="769">
        <v>51.49</v>
      </c>
      <c r="I33" s="771">
        <v>147.94362444444445</v>
      </c>
    </row>
    <row r="34" spans="1:9" ht="15.95" customHeight="1">
      <c r="A34" s="81">
        <v>1997</v>
      </c>
      <c r="B34" s="82">
        <v>51.439490000000006</v>
      </c>
      <c r="C34" s="82">
        <v>15.315555555555555</v>
      </c>
      <c r="D34" s="82">
        <v>25.7775</v>
      </c>
      <c r="E34" s="82">
        <v>3.1647222222222222</v>
      </c>
      <c r="F34" s="82">
        <v>8.141000000000001E-2</v>
      </c>
      <c r="G34" s="82">
        <v>4.2720000000000002</v>
      </c>
      <c r="H34" s="82">
        <v>52.664000000000001</v>
      </c>
      <c r="I34" s="623">
        <v>152.71467777777781</v>
      </c>
    </row>
    <row r="35" spans="1:9" ht="15.95" customHeight="1">
      <c r="A35" s="768">
        <v>1998</v>
      </c>
      <c r="B35" s="769">
        <v>50.223212493170003</v>
      </c>
      <c r="C35" s="769">
        <v>15.006111111111112</v>
      </c>
      <c r="D35" s="769">
        <v>24.055277777777778</v>
      </c>
      <c r="E35" s="769">
        <v>3.2105555555555556</v>
      </c>
      <c r="F35" s="769">
        <v>1.5302875068300004</v>
      </c>
      <c r="G35" s="769">
        <v>4.1950000000000003</v>
      </c>
      <c r="H35" s="769">
        <v>53.862000000000002</v>
      </c>
      <c r="I35" s="771">
        <v>152.08244444444446</v>
      </c>
    </row>
    <row r="36" spans="1:9" ht="15.95" customHeight="1">
      <c r="A36" s="81">
        <v>1999</v>
      </c>
      <c r="B36" s="82">
        <v>51.884257144514216</v>
      </c>
      <c r="C36" s="82">
        <v>14.5525</v>
      </c>
      <c r="D36" s="82">
        <v>24.01861111111111</v>
      </c>
      <c r="E36" s="82">
        <v>3.5886111111111108</v>
      </c>
      <c r="F36" s="82">
        <v>0.29955285548578908</v>
      </c>
      <c r="G36" s="82">
        <v>4.1399999999999997</v>
      </c>
      <c r="H36" s="82">
        <v>54.497</v>
      </c>
      <c r="I36" s="623">
        <v>152.98053222222222</v>
      </c>
    </row>
    <row r="37" spans="1:9" ht="15.95" customHeight="1">
      <c r="A37" s="768">
        <v>2000</v>
      </c>
      <c r="B37" s="769">
        <v>51.597658000000003</v>
      </c>
      <c r="C37" s="769">
        <v>15.614722222222223</v>
      </c>
      <c r="D37" s="769">
        <v>21.584444444444447</v>
      </c>
      <c r="E37" s="769">
        <v>3.4127777777777779</v>
      </c>
      <c r="F37" s="769">
        <v>6.2801999999999997E-2</v>
      </c>
      <c r="G37" s="769">
        <v>4.0030000000000001</v>
      </c>
      <c r="H37" s="769">
        <v>56.889000000000003</v>
      </c>
      <c r="I37" s="771">
        <v>153.16440444444444</v>
      </c>
    </row>
    <row r="38" spans="1:9" ht="15.95" customHeight="1">
      <c r="A38" s="81">
        <v>2001</v>
      </c>
      <c r="B38" s="82">
        <v>50.488391555183</v>
      </c>
      <c r="C38" s="82">
        <v>16.669444444444444</v>
      </c>
      <c r="D38" s="82">
        <v>20.189722222222223</v>
      </c>
      <c r="E38" s="82">
        <v>3.8361111111111108</v>
      </c>
      <c r="F38" s="82">
        <v>0.10210844481700002</v>
      </c>
      <c r="G38" s="82">
        <v>4.476</v>
      </c>
      <c r="H38" s="82">
        <v>56.247999999999998</v>
      </c>
      <c r="I38" s="623">
        <v>152.0097777777778</v>
      </c>
    </row>
    <row r="39" spans="1:9" ht="15.95" customHeight="1">
      <c r="A39" s="768">
        <v>2002</v>
      </c>
      <c r="B39" s="769">
        <v>53.843039072600007</v>
      </c>
      <c r="C39" s="769">
        <v>17.208333333333332</v>
      </c>
      <c r="D39" s="769">
        <v>18.986666666666668</v>
      </c>
      <c r="E39" s="769">
        <v>3.5663888888888886</v>
      </c>
      <c r="F39" s="769">
        <v>9.6900927400000003E-2</v>
      </c>
      <c r="G39" s="769">
        <v>4.5529999999999999</v>
      </c>
      <c r="H39" s="769">
        <v>55.661000000000001</v>
      </c>
      <c r="I39" s="771">
        <v>153.91532888888889</v>
      </c>
    </row>
    <row r="40" spans="1:9" ht="15.95" customHeight="1">
      <c r="A40" s="81">
        <v>2003</v>
      </c>
      <c r="B40" s="82">
        <v>55.093817776899996</v>
      </c>
      <c r="C40" s="82">
        <v>17.094722222222224</v>
      </c>
      <c r="D40" s="82">
        <v>21.338333333333331</v>
      </c>
      <c r="E40" s="82">
        <v>4.2552777777777777</v>
      </c>
      <c r="F40" s="82">
        <v>0.16663626820000002</v>
      </c>
      <c r="G40" s="82">
        <v>4.4160000000000004</v>
      </c>
      <c r="H40" s="82">
        <v>54.496000000000002</v>
      </c>
      <c r="I40" s="623">
        <v>156.86078737843332</v>
      </c>
    </row>
    <row r="41" spans="1:9" ht="15.95" customHeight="1">
      <c r="A41" s="768">
        <v>2004</v>
      </c>
      <c r="B41" s="769">
        <v>55.233695237355555</v>
      </c>
      <c r="C41" s="769">
        <v>17.328611111111108</v>
      </c>
      <c r="D41" s="769">
        <v>19.574722222222224</v>
      </c>
      <c r="E41" s="769">
        <v>4.415</v>
      </c>
      <c r="F41" s="769">
        <v>0.11936031820000001</v>
      </c>
      <c r="G41" s="769">
        <v>4.7149999999999999</v>
      </c>
      <c r="H41" s="769">
        <v>55.37</v>
      </c>
      <c r="I41" s="771">
        <v>156.75638888888889</v>
      </c>
    </row>
    <row r="42" spans="1:9" ht="15.95" customHeight="1">
      <c r="A42" s="81">
        <v>2005</v>
      </c>
      <c r="B42" s="82">
        <v>52.990833333333327</v>
      </c>
      <c r="C42" s="82">
        <v>15.741666666666665</v>
      </c>
      <c r="D42" s="82">
        <v>17.396111111111111</v>
      </c>
      <c r="E42" s="82">
        <v>3.305277777777778</v>
      </c>
      <c r="F42" s="82">
        <v>5.7941666666666674</v>
      </c>
      <c r="G42" s="82">
        <v>4.3963888888888887</v>
      </c>
      <c r="H42" s="82">
        <v>55.278055555555554</v>
      </c>
      <c r="I42" s="623">
        <v>154.90249999999997</v>
      </c>
    </row>
    <row r="43" spans="1:9" ht="15.95" customHeight="1">
      <c r="A43" s="768">
        <v>2006</v>
      </c>
      <c r="B43" s="769">
        <v>53.305</v>
      </c>
      <c r="C43" s="769">
        <v>15.942222222222222</v>
      </c>
      <c r="D43" s="769">
        <v>17.452777777777776</v>
      </c>
      <c r="E43" s="769">
        <v>3.6933333333333329</v>
      </c>
      <c r="F43" s="769">
        <v>4.9588888888888887</v>
      </c>
      <c r="G43" s="769">
        <v>4.3966666666666674</v>
      </c>
      <c r="H43" s="769">
        <v>56.508333333333326</v>
      </c>
      <c r="I43" s="771">
        <v>156.2572222222222</v>
      </c>
    </row>
    <row r="44" spans="1:9" ht="15.95" customHeight="1">
      <c r="A44" s="81">
        <v>2007</v>
      </c>
      <c r="B44" s="82">
        <v>55.093333333333327</v>
      </c>
      <c r="C44" s="82">
        <v>17.361944444444447</v>
      </c>
      <c r="D44" s="82">
        <v>15.790833333333332</v>
      </c>
      <c r="E44" s="82">
        <v>3.5905555555555555</v>
      </c>
      <c r="F44" s="82">
        <v>5.585</v>
      </c>
      <c r="G44" s="82">
        <v>4.3761111111111113</v>
      </c>
      <c r="H44" s="82">
        <v>57.456388888888888</v>
      </c>
      <c r="I44" s="623">
        <v>159.25416666666666</v>
      </c>
    </row>
    <row r="45" spans="1:9" ht="15.95" customHeight="1">
      <c r="A45" s="768">
        <v>2008</v>
      </c>
      <c r="B45" s="769">
        <v>54.157499999999999</v>
      </c>
      <c r="C45" s="769">
        <v>16.033333333333331</v>
      </c>
      <c r="D45" s="769">
        <v>15.934444444444443</v>
      </c>
      <c r="E45" s="769">
        <v>3.68</v>
      </c>
      <c r="F45" s="769">
        <v>4.9997222222222213</v>
      </c>
      <c r="G45" s="769">
        <v>4.2233333333333327</v>
      </c>
      <c r="H45" s="769">
        <v>55.468611111111109</v>
      </c>
      <c r="I45" s="771">
        <v>154.49694444444444</v>
      </c>
    </row>
    <row r="46" spans="1:9" ht="15.95" customHeight="1">
      <c r="A46" s="85">
        <v>2009</v>
      </c>
      <c r="B46" s="245">
        <v>52.617777777777775</v>
      </c>
      <c r="C46" s="245">
        <v>9.8977777777777778</v>
      </c>
      <c r="D46" s="245">
        <v>13.277222222222223</v>
      </c>
      <c r="E46" s="245">
        <v>3.4261111111111107</v>
      </c>
      <c r="F46" s="245">
        <v>3.6261111111111108</v>
      </c>
      <c r="G46" s="245">
        <v>4.4994444444444444</v>
      </c>
      <c r="H46" s="245">
        <v>49.536388888888894</v>
      </c>
      <c r="I46" s="624">
        <v>136.88083333333333</v>
      </c>
    </row>
    <row r="47" spans="1:9" ht="15.95" customHeight="1">
      <c r="A47" s="768">
        <v>2010</v>
      </c>
      <c r="B47" s="769">
        <v>54.421666666666667</v>
      </c>
      <c r="C47" s="769">
        <v>15.484999999999999</v>
      </c>
      <c r="D47" s="769">
        <v>14.337222222222223</v>
      </c>
      <c r="E47" s="769">
        <v>3.7388888888888885</v>
      </c>
      <c r="F47" s="769">
        <v>4.3255555555555558</v>
      </c>
      <c r="G47" s="769">
        <v>4.527222222222222</v>
      </c>
      <c r="H47" s="769">
        <v>52.600833333333327</v>
      </c>
      <c r="I47" s="771">
        <v>149.43638888888887</v>
      </c>
    </row>
    <row r="48" spans="1:9" ht="15.95" customHeight="1">
      <c r="A48" s="81">
        <v>2011</v>
      </c>
      <c r="B48" s="244">
        <v>53.971388888888889</v>
      </c>
      <c r="C48" s="244">
        <v>15.754722222222222</v>
      </c>
      <c r="D48" s="316">
        <v>12.489444444444443</v>
      </c>
      <c r="E48" s="244">
        <v>4.1302777777777777</v>
      </c>
      <c r="F48" s="244">
        <v>4.3111111111111109</v>
      </c>
      <c r="G48" s="244">
        <v>4.1194444444444445</v>
      </c>
      <c r="H48" s="244">
        <v>53.052500000000002</v>
      </c>
      <c r="I48" s="454">
        <v>147.82888888888888</v>
      </c>
    </row>
    <row r="49" spans="1:10" ht="15.95" customHeight="1">
      <c r="A49" s="768">
        <v>2012</v>
      </c>
      <c r="B49" s="769">
        <v>55.175555555555555</v>
      </c>
      <c r="C49" s="769">
        <v>14.105</v>
      </c>
      <c r="D49" s="769">
        <v>11.800833333333333</v>
      </c>
      <c r="E49" s="769">
        <v>4.1305555555555555</v>
      </c>
      <c r="F49" s="769">
        <v>3.8450000000000002</v>
      </c>
      <c r="G49" s="769">
        <v>4.2686111111111114</v>
      </c>
      <c r="H49" s="769">
        <v>52.494999999999997</v>
      </c>
      <c r="I49" s="771">
        <v>145.82055555555556</v>
      </c>
    </row>
    <row r="50" spans="1:10" ht="15.95" customHeight="1">
      <c r="A50" s="81">
        <v>2013</v>
      </c>
      <c r="B50" s="244">
        <v>55.329166666666666</v>
      </c>
      <c r="C50" s="244">
        <v>14.151944444444444</v>
      </c>
      <c r="D50" s="316">
        <v>10.146111111111111</v>
      </c>
      <c r="E50" s="244">
        <v>3.6163888888888889</v>
      </c>
      <c r="F50" s="244">
        <v>5.3891666666666671</v>
      </c>
      <c r="G50" s="244">
        <v>4.1830555555555557</v>
      </c>
      <c r="H50" s="244">
        <v>50.951388888888893</v>
      </c>
      <c r="I50" s="454">
        <v>143.76722222222222</v>
      </c>
    </row>
    <row r="51" spans="1:10" ht="15.95" customHeight="1">
      <c r="A51" s="768">
        <v>2014</v>
      </c>
      <c r="B51" s="769">
        <v>56.402777777777771</v>
      </c>
      <c r="C51" s="769">
        <v>14.541388888888889</v>
      </c>
      <c r="D51" s="769">
        <v>9.01</v>
      </c>
      <c r="E51" s="769">
        <v>3.638611111111111</v>
      </c>
      <c r="F51" s="769">
        <v>5.2763888888888886</v>
      </c>
      <c r="G51" s="769">
        <v>4.0438888888888886</v>
      </c>
      <c r="H51" s="769">
        <v>49.651666666666664</v>
      </c>
      <c r="I51" s="771">
        <v>142.56472222222223</v>
      </c>
    </row>
    <row r="52" spans="1:10" ht="15.95" customHeight="1">
      <c r="A52" s="81">
        <v>2015</v>
      </c>
      <c r="B52" s="244">
        <v>56.738055555555555</v>
      </c>
      <c r="C52" s="244">
        <v>13.604722222222223</v>
      </c>
      <c r="D52" s="316">
        <v>8.4519444444444431</v>
      </c>
      <c r="E52" s="244">
        <v>3.9147222222222222</v>
      </c>
      <c r="F52" s="244">
        <v>4.7405555555555559</v>
      </c>
      <c r="G52" s="244">
        <v>3.846111111111111</v>
      </c>
      <c r="H52" s="244">
        <v>49.081666666666663</v>
      </c>
      <c r="I52" s="454">
        <v>140.37777777777779</v>
      </c>
    </row>
    <row r="53" spans="1:10" ht="15.95" customHeight="1">
      <c r="B53" s="82"/>
      <c r="C53" s="82"/>
      <c r="D53" s="82"/>
      <c r="E53" s="82"/>
      <c r="F53" s="82"/>
      <c r="G53" s="82"/>
      <c r="H53" s="82"/>
      <c r="I53" s="84"/>
    </row>
    <row r="54" spans="1:10" ht="15.95" customHeight="1">
      <c r="A54" s="56" t="s">
        <v>27</v>
      </c>
      <c r="B54" s="410"/>
      <c r="C54" s="410"/>
      <c r="D54" s="410"/>
      <c r="E54" s="410"/>
      <c r="F54" s="410"/>
      <c r="G54" s="410"/>
      <c r="H54" s="410"/>
      <c r="I54" s="410"/>
      <c r="J54" s="410"/>
    </row>
    <row r="55" spans="1:10">
      <c r="A55" s="410" t="s">
        <v>482</v>
      </c>
      <c r="B55" s="410"/>
      <c r="C55" s="410"/>
      <c r="D55" s="410"/>
      <c r="E55" s="410"/>
      <c r="F55" s="410"/>
      <c r="G55" s="410"/>
      <c r="H55" s="410"/>
      <c r="I55" s="410"/>
      <c r="J55" s="410"/>
    </row>
    <row r="56" spans="1:10">
      <c r="A56" s="70" t="s">
        <v>526</v>
      </c>
      <c r="B56" s="86"/>
      <c r="C56" s="86"/>
      <c r="E56" s="86"/>
      <c r="F56" s="86"/>
      <c r="G56" s="86"/>
      <c r="H56" s="86"/>
      <c r="I56" s="87"/>
    </row>
    <row r="57" spans="1:10">
      <c r="A57" s="70" t="s">
        <v>491</v>
      </c>
      <c r="B57" s="86"/>
      <c r="C57" s="86"/>
      <c r="D57" s="86"/>
      <c r="E57" s="86"/>
      <c r="F57" s="86"/>
      <c r="G57" s="86"/>
      <c r="H57" s="86"/>
      <c r="I57" s="87"/>
    </row>
    <row r="58" spans="1:10">
      <c r="B58" s="86"/>
      <c r="C58" s="86"/>
      <c r="D58" s="86"/>
      <c r="E58" s="86"/>
      <c r="F58" s="86"/>
      <c r="G58" s="86"/>
      <c r="H58" s="86"/>
      <c r="I58" s="8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3984375" style="70" customWidth="1"/>
    <col min="2" max="2" width="14.73046875" style="70" customWidth="1"/>
    <col min="3" max="4" width="10.73046875" style="70" customWidth="1"/>
    <col min="5" max="5" width="8.73046875" style="70" customWidth="1"/>
    <col min="6" max="7" width="9.3984375" style="70" customWidth="1"/>
    <col min="8" max="8" width="9" style="70" customWidth="1"/>
    <col min="9" max="9" width="7.265625" style="70" customWidth="1"/>
    <col min="10" max="11" width="10.73046875" style="70" customWidth="1"/>
    <col min="12" max="16384" width="8" style="70"/>
  </cols>
  <sheetData>
    <row r="1" spans="1:12" ht="15.95" customHeight="1">
      <c r="A1" s="524" t="str">
        <f>IF(språk=lista[[#Headers],[Svenska]],"Innehåll",IF(språk=lista[[#Headers],[English]],"Contents","FEL"))</f>
        <v>Contents</v>
      </c>
    </row>
    <row r="2" spans="1:12" ht="15.95" customHeight="1"/>
    <row r="3" spans="1:12" ht="15.95" customHeight="1">
      <c r="A3" s="89" t="str">
        <f>IFERROR(INDEX(lista[],MATCH($A5,lista[ID],0),MATCH(språk,lista[#Headers],0)),"")</f>
        <v>Final energy use in the industrial sector, by industry, from 1990, TWh</v>
      </c>
    </row>
    <row r="4" spans="1:12" s="267" customFormat="1" ht="15.95" customHeight="1">
      <c r="A4" s="393"/>
    </row>
    <row r="5" spans="1:12" s="267" customFormat="1" ht="15.95" hidden="1" customHeight="1">
      <c r="A5" s="267">
        <v>22</v>
      </c>
      <c r="B5" s="267" t="s">
        <v>647</v>
      </c>
      <c r="C5" s="267" t="s">
        <v>648</v>
      </c>
      <c r="D5" s="267" t="s">
        <v>649</v>
      </c>
      <c r="E5" s="267" t="s">
        <v>650</v>
      </c>
      <c r="F5" s="267" t="s">
        <v>651</v>
      </c>
      <c r="G5" s="267" t="s">
        <v>652</v>
      </c>
      <c r="H5" s="267" t="s">
        <v>653</v>
      </c>
      <c r="I5" s="267" t="s">
        <v>654</v>
      </c>
      <c r="J5" s="267" t="s">
        <v>655</v>
      </c>
    </row>
    <row r="6" spans="1:12" ht="39" customHeight="1">
      <c r="A6" s="470"/>
      <c r="B6" s="977" t="str">
        <f>IFERROR(INDEX(_4.2[],MATCH(språk,_4.2[[id]:[id]],0),MATCH(B$5,_4.2[#Headers],0)),"")</f>
        <v>Pulp and paper</v>
      </c>
      <c r="C6" s="977" t="str">
        <f>IFERROR(INDEX(_4.2[],MATCH(språk,_4.2[[id]:[id]],0),MATCH(C$5,_4.2[#Headers],0)),"")</f>
        <v>Steel and metals</v>
      </c>
      <c r="D6" s="977" t="str">
        <f>IFERROR(INDEX(_4.2[],MATCH(språk,_4.2[[id]:[id]],0),MATCH(D$5,_4.2[#Headers],0)),"")</f>
        <v>Chemical</v>
      </c>
      <c r="E6" s="977" t="str">
        <f>IFERROR(INDEX(_4.2[],MATCH(språk,_4.2[[id]:[id]],0),MATCH(E$5,_4.2[#Headers],0)),"")</f>
        <v>Mechanical engineering</v>
      </c>
      <c r="F6" s="977" t="str">
        <f>IFERROR(INDEX(_4.2[],MATCH(språk,_4.2[[id]:[id]],0),MATCH(F$5,_4.2[#Headers],0)),"")</f>
        <v>Mining</v>
      </c>
      <c r="G6" s="977" t="str">
        <f>IFERROR(INDEX(_4.2[],MATCH(språk,_4.2[[id]:[id]],0),MATCH(G$5,_4.2[#Headers],0)),"")</f>
        <v>Food, beverages, tobacco</v>
      </c>
      <c r="H6" s="977" t="str">
        <f>IFERROR(INDEX(_4.2[],MATCH(språk,_4.2[[id]:[id]],0),MATCH(H$5,_4.2[#Headers],0)),"")</f>
        <v>Non-metallic minerals</v>
      </c>
      <c r="I6" s="977" t="str">
        <f>IFERROR(INDEX(_4.2[],MATCH(språk,_4.2[[id]:[id]],0),MATCH(I$5,_4.2[#Headers],0)),"")</f>
        <v>Wood products</v>
      </c>
      <c r="J6" s="977" t="str">
        <f>IFERROR(INDEX(_4.2[],MATCH(språk,_4.2[[id]:[id]],0),MATCH(J$5,_4.2[#Headers],0)),"")</f>
        <v>Small industries and others</v>
      </c>
      <c r="K6" s="471" t="str">
        <f>IF(språk=lista[[#Headers],[Svenska]],"Totalt",IF(språk=lista[[#Headers],[English]],"Total","FEL"))</f>
        <v>Total</v>
      </c>
    </row>
    <row r="7" spans="1:12" ht="15.95" customHeight="1">
      <c r="A7" s="772">
        <v>1990</v>
      </c>
      <c r="B7" s="773">
        <v>61.515442857900005</v>
      </c>
      <c r="C7" s="773">
        <v>21.531162363811109</v>
      </c>
      <c r="D7" s="773">
        <v>9.3893163660999992</v>
      </c>
      <c r="E7" s="773">
        <v>11.904607532900002</v>
      </c>
      <c r="F7" s="773">
        <v>4.3779119772000001</v>
      </c>
      <c r="G7" s="773">
        <v>6.8138827656999998</v>
      </c>
      <c r="H7" s="773">
        <v>7.7344365502999999</v>
      </c>
      <c r="I7" s="773">
        <v>9.1948309900999998</v>
      </c>
      <c r="J7" s="773">
        <v>7.775430862066667</v>
      </c>
      <c r="K7" s="774">
        <v>140.23702226607779</v>
      </c>
      <c r="L7" s="244"/>
    </row>
    <row r="8" spans="1:12" ht="15.95" customHeight="1">
      <c r="A8" s="472">
        <v>1991</v>
      </c>
      <c r="B8" s="473">
        <v>61.806534536599997</v>
      </c>
      <c r="C8" s="473">
        <v>19.682713843966667</v>
      </c>
      <c r="D8" s="473">
        <v>8.6381848758500013</v>
      </c>
      <c r="E8" s="473">
        <v>11.002810820400001</v>
      </c>
      <c r="F8" s="473">
        <v>3.7520933914999994</v>
      </c>
      <c r="G8" s="473">
        <v>6.2396436309999999</v>
      </c>
      <c r="H8" s="473">
        <v>7.5324582092999997</v>
      </c>
      <c r="I8" s="473">
        <v>9.5366530682999997</v>
      </c>
      <c r="J8" s="473">
        <v>6.7709291304777777</v>
      </c>
      <c r="K8" s="474">
        <v>134.96202150739444</v>
      </c>
      <c r="L8" s="244"/>
    </row>
    <row r="9" spans="1:12" ht="15.95" customHeight="1">
      <c r="A9" s="772">
        <v>1992</v>
      </c>
      <c r="B9" s="773">
        <v>61.173097980000009</v>
      </c>
      <c r="C9" s="773">
        <v>19.832764658188889</v>
      </c>
      <c r="D9" s="773">
        <v>7.742524984600001</v>
      </c>
      <c r="E9" s="773">
        <v>10.0176303137</v>
      </c>
      <c r="F9" s="773">
        <v>3.4769652083999998</v>
      </c>
      <c r="G9" s="773">
        <v>6.1003628461999995</v>
      </c>
      <c r="H9" s="773">
        <v>6.138446169999999</v>
      </c>
      <c r="I9" s="773">
        <v>9.4871340620000009</v>
      </c>
      <c r="J9" s="773">
        <v>8.4100174054111108</v>
      </c>
      <c r="K9" s="774">
        <v>132.3789436285</v>
      </c>
      <c r="L9" s="244"/>
    </row>
    <row r="10" spans="1:12" ht="15.95" customHeight="1">
      <c r="A10" s="472">
        <v>1993</v>
      </c>
      <c r="B10" s="473">
        <v>64.095882045370075</v>
      </c>
      <c r="C10" s="473">
        <v>20.496404231118646</v>
      </c>
      <c r="D10" s="473">
        <v>7.8326613670606742</v>
      </c>
      <c r="E10" s="473">
        <v>9.9931258036657233</v>
      </c>
      <c r="F10" s="473">
        <v>3.389206300028599</v>
      </c>
      <c r="G10" s="473">
        <v>6.2582121847164238</v>
      </c>
      <c r="H10" s="473">
        <v>6.4833600555746127</v>
      </c>
      <c r="I10" s="473">
        <v>9.7031944801087793</v>
      </c>
      <c r="J10" s="473">
        <v>7.0773073301491953</v>
      </c>
      <c r="K10" s="474">
        <v>135.32935379779272</v>
      </c>
      <c r="L10" s="244"/>
    </row>
    <row r="11" spans="1:12" ht="15.95" customHeight="1">
      <c r="A11" s="772">
        <v>1994</v>
      </c>
      <c r="B11" s="773">
        <v>66.006241495219271</v>
      </c>
      <c r="C11" s="773">
        <v>21.681819007587997</v>
      </c>
      <c r="D11" s="773">
        <v>8.3888806485698737</v>
      </c>
      <c r="E11" s="773">
        <v>10.603378280332105</v>
      </c>
      <c r="F11" s="773">
        <v>3.52416154251438</v>
      </c>
      <c r="G11" s="773">
        <v>6.2261614240321608</v>
      </c>
      <c r="H11" s="773">
        <v>6.3011943657725009</v>
      </c>
      <c r="I11" s="773">
        <v>10.594306048689528</v>
      </c>
      <c r="J11" s="773">
        <v>6.5098294592018036</v>
      </c>
      <c r="K11" s="774">
        <v>139.83597227191962</v>
      </c>
      <c r="L11" s="244"/>
    </row>
    <row r="12" spans="1:12" ht="15.95" customHeight="1">
      <c r="A12" s="472">
        <v>1995</v>
      </c>
      <c r="B12" s="473">
        <v>68.277046413026213</v>
      </c>
      <c r="C12" s="473">
        <v>23.143419370033413</v>
      </c>
      <c r="D12" s="473">
        <v>8.1337620432405178</v>
      </c>
      <c r="E12" s="473">
        <v>11.15428472312956</v>
      </c>
      <c r="F12" s="473">
        <v>3.9729953321388702</v>
      </c>
      <c r="G12" s="473">
        <v>6.4166419111293944</v>
      </c>
      <c r="H12" s="473">
        <v>6.8583273542900915</v>
      </c>
      <c r="I12" s="473">
        <v>11.304834128290619</v>
      </c>
      <c r="J12" s="473">
        <v>6.7459228736645667</v>
      </c>
      <c r="K12" s="474">
        <v>146.00723414894324</v>
      </c>
      <c r="L12" s="244"/>
    </row>
    <row r="13" spans="1:12" ht="15.95" customHeight="1">
      <c r="A13" s="772">
        <v>1996</v>
      </c>
      <c r="B13" s="773">
        <v>67.949677499471164</v>
      </c>
      <c r="C13" s="773">
        <v>23.772935440392096</v>
      </c>
      <c r="D13" s="773">
        <v>9.6208480997934558</v>
      </c>
      <c r="E13" s="773">
        <v>11.830846355831856</v>
      </c>
      <c r="F13" s="773">
        <v>4.1329098786136678</v>
      </c>
      <c r="G13" s="773">
        <v>6.7309287696990729</v>
      </c>
      <c r="H13" s="773">
        <v>6.578134694082304</v>
      </c>
      <c r="I13" s="773">
        <v>10.87174035590516</v>
      </c>
      <c r="J13" s="773">
        <v>6.4581579001510745</v>
      </c>
      <c r="K13" s="774">
        <v>147.94617899393984</v>
      </c>
      <c r="L13" s="244"/>
    </row>
    <row r="14" spans="1:12" ht="15.95" customHeight="1">
      <c r="A14" s="472">
        <v>1997</v>
      </c>
      <c r="B14" s="473">
        <v>73.622051129725037</v>
      </c>
      <c r="C14" s="473">
        <v>24.053419441330885</v>
      </c>
      <c r="D14" s="473">
        <v>8.2871001574020404</v>
      </c>
      <c r="E14" s="473">
        <v>11.709992847431685</v>
      </c>
      <c r="F14" s="473">
        <v>4.1277399908668322</v>
      </c>
      <c r="G14" s="473">
        <v>6.2057265486386113</v>
      </c>
      <c r="H14" s="473">
        <v>5.8261648157527937</v>
      </c>
      <c r="I14" s="473">
        <v>11.049697199423678</v>
      </c>
      <c r="J14" s="473">
        <v>7.8317044600522392</v>
      </c>
      <c r="K14" s="474">
        <v>152.71359659062384</v>
      </c>
      <c r="L14" s="244"/>
    </row>
    <row r="15" spans="1:12" ht="15.95" customHeight="1">
      <c r="A15" s="772">
        <v>1998</v>
      </c>
      <c r="B15" s="773">
        <v>73.481427780011373</v>
      </c>
      <c r="C15" s="773">
        <v>24.295851752863612</v>
      </c>
      <c r="D15" s="773">
        <v>8.5273164034576769</v>
      </c>
      <c r="E15" s="773">
        <v>11.054323194018709</v>
      </c>
      <c r="F15" s="773">
        <v>4.1207071592098794</v>
      </c>
      <c r="G15" s="773">
        <v>5.8338808215117091</v>
      </c>
      <c r="H15" s="773">
        <v>5.7755696216262651</v>
      </c>
      <c r="I15" s="773">
        <v>8.3904956392972991</v>
      </c>
      <c r="J15" s="773">
        <v>10.605433351888596</v>
      </c>
      <c r="K15" s="774">
        <v>152.08500572388513</v>
      </c>
      <c r="L15" s="244"/>
    </row>
    <row r="16" spans="1:12" ht="15.95" customHeight="1">
      <c r="A16" s="472">
        <v>1999</v>
      </c>
      <c r="B16" s="473">
        <v>74.197087924551653</v>
      </c>
      <c r="C16" s="473">
        <v>23.576307783485454</v>
      </c>
      <c r="D16" s="473">
        <v>10.388523959864946</v>
      </c>
      <c r="E16" s="473">
        <v>11.611631126328845</v>
      </c>
      <c r="F16" s="473">
        <v>3.9063975515640843</v>
      </c>
      <c r="G16" s="473">
        <v>6.8733492708826782</v>
      </c>
      <c r="H16" s="473">
        <v>4.821184309351727</v>
      </c>
      <c r="I16" s="473">
        <v>8.0597555980089481</v>
      </c>
      <c r="J16" s="473">
        <v>9.5497060841154937</v>
      </c>
      <c r="K16" s="474">
        <v>152.98394360815382</v>
      </c>
      <c r="L16" s="244"/>
    </row>
    <row r="17" spans="1:12" ht="15.95" customHeight="1">
      <c r="A17" s="772">
        <v>2000</v>
      </c>
      <c r="B17" s="773">
        <v>76.49772673284933</v>
      </c>
      <c r="C17" s="773">
        <v>24.878993731975125</v>
      </c>
      <c r="D17" s="773">
        <v>10.33212735683513</v>
      </c>
      <c r="E17" s="773">
        <v>10.921895016055187</v>
      </c>
      <c r="F17" s="773">
        <v>4.413576218793275</v>
      </c>
      <c r="G17" s="773">
        <v>6.5592704600474114</v>
      </c>
      <c r="H17" s="773">
        <v>7.0592967558311539</v>
      </c>
      <c r="I17" s="773">
        <v>8.7666897835687525</v>
      </c>
      <c r="J17" s="773">
        <v>3.7288400996001974</v>
      </c>
      <c r="K17" s="774">
        <v>153.15841615555559</v>
      </c>
      <c r="L17" s="244"/>
    </row>
    <row r="18" spans="1:12" ht="15.95" customHeight="1">
      <c r="A18" s="472">
        <v>2001</v>
      </c>
      <c r="B18" s="473">
        <v>74.47360178410743</v>
      </c>
      <c r="C18" s="473">
        <v>25.960033365755152</v>
      </c>
      <c r="D18" s="473">
        <v>10.867736461788633</v>
      </c>
      <c r="E18" s="473">
        <v>11.430009865086495</v>
      </c>
      <c r="F18" s="473">
        <v>4.1664716840787852</v>
      </c>
      <c r="G18" s="473">
        <v>6.0103647066121573</v>
      </c>
      <c r="H18" s="473">
        <v>7.235255503845119</v>
      </c>
      <c r="I18" s="473">
        <v>8.3776698255509476</v>
      </c>
      <c r="J18" s="473">
        <v>3.4997534508215007</v>
      </c>
      <c r="K18" s="474">
        <v>152.0208966476462</v>
      </c>
      <c r="L18" s="244"/>
    </row>
    <row r="19" spans="1:12" ht="15.95" customHeight="1">
      <c r="A19" s="772">
        <v>2002</v>
      </c>
      <c r="B19" s="773">
        <v>77.910929710114573</v>
      </c>
      <c r="C19" s="773">
        <v>26.282606654350072</v>
      </c>
      <c r="D19" s="773">
        <v>11.108543522018374</v>
      </c>
      <c r="E19" s="773">
        <v>10.991818719454407</v>
      </c>
      <c r="F19" s="773">
        <v>4.036360973080944</v>
      </c>
      <c r="G19" s="773">
        <v>5.8958379264266352</v>
      </c>
      <c r="H19" s="773">
        <v>6.0412383179193796</v>
      </c>
      <c r="I19" s="773">
        <v>8.4129013783492343</v>
      </c>
      <c r="J19" s="773">
        <v>3.2378592369290224</v>
      </c>
      <c r="K19" s="774">
        <v>153.91809643864264</v>
      </c>
      <c r="L19" s="244"/>
    </row>
    <row r="20" spans="1:12" ht="15.95" customHeight="1">
      <c r="A20" s="472">
        <v>2003</v>
      </c>
      <c r="B20" s="473">
        <v>79.680415887757022</v>
      </c>
      <c r="C20" s="473">
        <v>26.832005157764769</v>
      </c>
      <c r="D20" s="473">
        <v>11.005236124964</v>
      </c>
      <c r="E20" s="473">
        <v>10.711659493268002</v>
      </c>
      <c r="F20" s="473">
        <v>3.9345005832420004</v>
      </c>
      <c r="G20" s="473">
        <v>5.8042506858530007</v>
      </c>
      <c r="H20" s="473">
        <v>6.0226914487131209</v>
      </c>
      <c r="I20" s="473">
        <v>8.2775493565030018</v>
      </c>
      <c r="J20" s="473">
        <v>4.5698905202940008</v>
      </c>
      <c r="K20" s="474">
        <v>156.83819925835888</v>
      </c>
      <c r="L20" s="244"/>
    </row>
    <row r="21" spans="1:12" ht="15.95" customHeight="1">
      <c r="A21" s="772">
        <v>2004</v>
      </c>
      <c r="B21" s="773">
        <v>80.896924286900017</v>
      </c>
      <c r="C21" s="773">
        <v>27.761808183718166</v>
      </c>
      <c r="D21" s="773">
        <v>11.2975031614</v>
      </c>
      <c r="E21" s="773">
        <v>10.127755351016667</v>
      </c>
      <c r="F21" s="773">
        <v>3.8791066771999998</v>
      </c>
      <c r="G21" s="773">
        <v>5.2757371653999998</v>
      </c>
      <c r="H21" s="773">
        <v>5.858830579991154</v>
      </c>
      <c r="I21" s="773">
        <v>7.0446658508999995</v>
      </c>
      <c r="J21" s="773">
        <v>4.5876869336071788</v>
      </c>
      <c r="K21" s="774">
        <v>156.73001819013319</v>
      </c>
      <c r="L21" s="244"/>
    </row>
    <row r="22" spans="1:12" ht="15.95" customHeight="1">
      <c r="A22" s="472">
        <v>2005</v>
      </c>
      <c r="B22" s="473">
        <v>77.715277777777771</v>
      </c>
      <c r="C22" s="473">
        <v>25.783888888888889</v>
      </c>
      <c r="D22" s="473">
        <v>14.151388888888889</v>
      </c>
      <c r="E22" s="473">
        <v>10.347222222222221</v>
      </c>
      <c r="F22" s="473">
        <v>3.9636111111111112</v>
      </c>
      <c r="G22" s="473">
        <v>5.3697222222222223</v>
      </c>
      <c r="H22" s="473">
        <v>6.3308333333333335</v>
      </c>
      <c r="I22" s="473">
        <v>8.8972222222222221</v>
      </c>
      <c r="J22" s="473">
        <v>2.3430555555555554</v>
      </c>
      <c r="K22" s="474">
        <v>154.90222222222224</v>
      </c>
      <c r="L22" s="244"/>
    </row>
    <row r="23" spans="1:12" ht="15.95" customHeight="1">
      <c r="A23" s="772">
        <v>2006</v>
      </c>
      <c r="B23" s="773">
        <v>77.670555555555552</v>
      </c>
      <c r="C23" s="773">
        <v>26.374166666666667</v>
      </c>
      <c r="D23" s="773">
        <v>13.905555555555555</v>
      </c>
      <c r="E23" s="773">
        <v>10.529166666666667</v>
      </c>
      <c r="F23" s="773">
        <v>4.014444444444444</v>
      </c>
      <c r="G23" s="773">
        <v>5.3947222222222226</v>
      </c>
      <c r="H23" s="773">
        <v>5.9938888888888888</v>
      </c>
      <c r="I23" s="773">
        <v>8.9994444444444444</v>
      </c>
      <c r="J23" s="773">
        <v>3.3744444444444444</v>
      </c>
      <c r="K23" s="774">
        <v>156.25638888888884</v>
      </c>
      <c r="L23" s="244"/>
    </row>
    <row r="24" spans="1:12" ht="15.95" customHeight="1">
      <c r="A24" s="472">
        <v>2007</v>
      </c>
      <c r="B24" s="473">
        <v>78.779444444444451</v>
      </c>
      <c r="C24" s="473">
        <v>27.437777777777779</v>
      </c>
      <c r="D24" s="473">
        <v>14.35138888888889</v>
      </c>
      <c r="E24" s="473">
        <v>10.34</v>
      </c>
      <c r="F24" s="473">
        <v>4.365277777777778</v>
      </c>
      <c r="G24" s="473">
        <v>5.4319444444444445</v>
      </c>
      <c r="H24" s="473">
        <v>5.9769444444444444</v>
      </c>
      <c r="I24" s="473">
        <v>8.5288888888888881</v>
      </c>
      <c r="J24" s="473">
        <v>4.041666666666667</v>
      </c>
      <c r="K24" s="474">
        <v>159.25333333333336</v>
      </c>
      <c r="L24" s="244"/>
    </row>
    <row r="25" spans="1:12" ht="15.95" customHeight="1">
      <c r="A25" s="772">
        <v>2008</v>
      </c>
      <c r="B25" s="773">
        <v>77.210833333333326</v>
      </c>
      <c r="C25" s="773">
        <v>25.555</v>
      </c>
      <c r="D25" s="773">
        <v>13.643888888888888</v>
      </c>
      <c r="E25" s="773">
        <v>9.4455555555555559</v>
      </c>
      <c r="F25" s="773">
        <v>4.6327777777777781</v>
      </c>
      <c r="G25" s="773">
        <v>5.2038888888888888</v>
      </c>
      <c r="H25" s="773">
        <v>6.0827777777777774</v>
      </c>
      <c r="I25" s="773">
        <v>8.6752777777777776</v>
      </c>
      <c r="J25" s="773">
        <v>4.0472222222222225</v>
      </c>
      <c r="K25" s="774">
        <v>154.49722222222221</v>
      </c>
      <c r="L25" s="244"/>
    </row>
    <row r="26" spans="1:12" ht="15.95" customHeight="1">
      <c r="A26" s="475">
        <v>2009</v>
      </c>
      <c r="B26" s="476">
        <v>73.687777777777782</v>
      </c>
      <c r="C26" s="476">
        <v>17.06861111111111</v>
      </c>
      <c r="D26" s="476">
        <v>11.666666666666666</v>
      </c>
      <c r="E26" s="476">
        <v>8.0863888888888891</v>
      </c>
      <c r="F26" s="476">
        <v>3.9105555555555553</v>
      </c>
      <c r="G26" s="476">
        <v>5.2119444444444447</v>
      </c>
      <c r="H26" s="476">
        <v>5.1219444444444449</v>
      </c>
      <c r="I26" s="476">
        <v>8.2463888888888892</v>
      </c>
      <c r="J26" s="476">
        <v>3.8783333333333334</v>
      </c>
      <c r="K26" s="477">
        <v>136.87861111111113</v>
      </c>
      <c r="L26" s="244"/>
    </row>
    <row r="27" spans="1:12" ht="15.95" customHeight="1">
      <c r="A27" s="772">
        <v>2010</v>
      </c>
      <c r="B27" s="773">
        <v>75.534444444444446</v>
      </c>
      <c r="C27" s="773">
        <v>24.578333333333333</v>
      </c>
      <c r="D27" s="773">
        <v>12.551666666666666</v>
      </c>
      <c r="E27" s="773">
        <v>8.8916666666666675</v>
      </c>
      <c r="F27" s="773">
        <v>5.2705555555555552</v>
      </c>
      <c r="G27" s="773">
        <v>5.2319444444444443</v>
      </c>
      <c r="H27" s="773">
        <v>5.7680555555555557</v>
      </c>
      <c r="I27" s="773">
        <v>8.1808333333333341</v>
      </c>
      <c r="J27" s="773">
        <v>3.4272222222222224</v>
      </c>
      <c r="K27" s="774">
        <v>149.43472222222221</v>
      </c>
      <c r="L27" s="244"/>
    </row>
    <row r="28" spans="1:12" ht="15.95" customHeight="1">
      <c r="A28" s="478">
        <v>2011</v>
      </c>
      <c r="B28" s="479">
        <v>74.971944444444446</v>
      </c>
      <c r="C28" s="479">
        <v>24.767222222222223</v>
      </c>
      <c r="D28" s="479">
        <v>12.192500000000001</v>
      </c>
      <c r="E28" s="479">
        <v>8.2311111111111117</v>
      </c>
      <c r="F28" s="479">
        <v>5.4094444444444445</v>
      </c>
      <c r="G28" s="479">
        <v>5.2777777777777777</v>
      </c>
      <c r="H28" s="479">
        <v>5.9841666666666669</v>
      </c>
      <c r="I28" s="479">
        <v>7.714722222222222</v>
      </c>
      <c r="J28" s="479">
        <v>3.28</v>
      </c>
      <c r="K28" s="480">
        <v>147.82888888888894</v>
      </c>
    </row>
    <row r="29" spans="1:12" ht="15.95" customHeight="1">
      <c r="A29" s="775">
        <v>2012</v>
      </c>
      <c r="B29" s="776">
        <v>75.754722222222227</v>
      </c>
      <c r="C29" s="776">
        <v>22.579444444444444</v>
      </c>
      <c r="D29" s="776">
        <v>11.695555555555556</v>
      </c>
      <c r="E29" s="776">
        <v>8.1891666666666669</v>
      </c>
      <c r="F29" s="776">
        <v>5.3902777777777775</v>
      </c>
      <c r="G29" s="776">
        <v>5.2058333333333335</v>
      </c>
      <c r="H29" s="776">
        <v>5.8702777777777779</v>
      </c>
      <c r="I29" s="776">
        <v>7.8391666666666664</v>
      </c>
      <c r="J29" s="776">
        <v>3.2961111111111112</v>
      </c>
      <c r="K29" s="777">
        <v>145.82055555555559</v>
      </c>
    </row>
    <row r="30" spans="1:12" ht="15.95" customHeight="1">
      <c r="A30" s="478">
        <v>2013</v>
      </c>
      <c r="B30" s="479">
        <v>74.11055555555555</v>
      </c>
      <c r="C30" s="479">
        <v>22.538611111111113</v>
      </c>
      <c r="D30" s="479">
        <v>12.897222222222222</v>
      </c>
      <c r="E30" s="479">
        <v>7.9802777777777774</v>
      </c>
      <c r="F30" s="479">
        <v>5.6688888888888886</v>
      </c>
      <c r="G30" s="479">
        <v>5.0869444444444447</v>
      </c>
      <c r="H30" s="479">
        <v>4.9397222222222226</v>
      </c>
      <c r="I30" s="479">
        <v>7.4352777777777774</v>
      </c>
      <c r="J30" s="479">
        <v>3.1077777777777778</v>
      </c>
      <c r="K30" s="480">
        <v>143.76527777777778</v>
      </c>
    </row>
    <row r="31" spans="1:12" ht="15.95" customHeight="1">
      <c r="A31" s="775">
        <v>2014</v>
      </c>
      <c r="B31" s="776">
        <v>73.316944444444445</v>
      </c>
      <c r="C31" s="776">
        <v>22.406111111111112</v>
      </c>
      <c r="D31" s="776">
        <v>12.322222222222223</v>
      </c>
      <c r="E31" s="776">
        <v>8.0186111111111114</v>
      </c>
      <c r="F31" s="776">
        <v>5.6069444444444443</v>
      </c>
      <c r="G31" s="776">
        <v>5.190833333333333</v>
      </c>
      <c r="H31" s="776">
        <v>4.8555555555555552</v>
      </c>
      <c r="I31" s="776">
        <v>7.7397222222222224</v>
      </c>
      <c r="J31" s="776">
        <v>3.1052777777777778</v>
      </c>
      <c r="K31" s="777">
        <v>142.56222222222223</v>
      </c>
    </row>
    <row r="32" spans="1:12" ht="15.95" customHeight="1">
      <c r="A32" s="478">
        <v>2015</v>
      </c>
      <c r="B32" s="479">
        <v>73.421666666666667</v>
      </c>
      <c r="C32" s="479">
        <v>21.498333333333335</v>
      </c>
      <c r="D32" s="479">
        <v>11.877222222222223</v>
      </c>
      <c r="E32" s="479">
        <v>7.7474999999999996</v>
      </c>
      <c r="F32" s="479">
        <v>5.5102777777777776</v>
      </c>
      <c r="G32" s="479">
        <v>4.7149999999999999</v>
      </c>
      <c r="H32" s="479">
        <v>5.0297222222222224</v>
      </c>
      <c r="I32" s="479">
        <v>7.6574999999999998</v>
      </c>
      <c r="J32" s="479">
        <v>2.9191666666666665</v>
      </c>
      <c r="K32" s="480">
        <v>140.37638888888887</v>
      </c>
    </row>
    <row r="33" spans="1:11" ht="15.95" customHeight="1">
      <c r="A33" s="481"/>
      <c r="B33" s="481"/>
      <c r="C33" s="481"/>
      <c r="D33" s="481"/>
      <c r="E33" s="481"/>
      <c r="F33" s="481"/>
      <c r="G33" s="481"/>
      <c r="H33" s="481"/>
      <c r="I33" s="481"/>
      <c r="J33" s="481"/>
      <c r="K33" s="481"/>
    </row>
    <row r="34" spans="1:11">
      <c r="A34" s="56" t="s">
        <v>27</v>
      </c>
      <c r="C34" s="481"/>
      <c r="D34" s="481"/>
      <c r="E34" s="481"/>
      <c r="F34" s="481"/>
      <c r="G34" s="481"/>
      <c r="H34" s="481"/>
      <c r="I34" s="481"/>
      <c r="J34" s="481"/>
      <c r="K34" s="481"/>
    </row>
    <row r="35" spans="1:11">
      <c r="A35" s="508" t="s">
        <v>492</v>
      </c>
      <c r="C35" s="560"/>
      <c r="D35" s="560"/>
      <c r="E35" s="560"/>
      <c r="F35" s="560"/>
      <c r="G35" s="560"/>
      <c r="H35" s="560"/>
      <c r="I35" s="560"/>
      <c r="J35" s="560"/>
      <c r="K35" s="560"/>
    </row>
    <row r="36" spans="1:11">
      <c r="A36" s="70" t="s">
        <v>493</v>
      </c>
    </row>
  </sheetData>
  <hyperlinks>
    <hyperlink ref="A1" location="Innehåll!A1" display="Innehåll"/>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 style="70" customWidth="1"/>
    <col min="2" max="2" width="14.73046875" style="70" customWidth="1"/>
    <col min="3" max="4" width="10.73046875" style="70" customWidth="1"/>
    <col min="5" max="5" width="8.73046875" style="70" customWidth="1"/>
    <col min="6" max="6" width="10.73046875" style="70" customWidth="1"/>
    <col min="7" max="7" width="9.3984375" style="70" customWidth="1"/>
    <col min="8" max="8" width="10.73046875" style="70" customWidth="1"/>
    <col min="9" max="9" width="7" style="70" customWidth="1"/>
    <col min="10" max="11" width="10.73046875" style="70" customWidth="1"/>
    <col min="12" max="16384" width="8" style="70"/>
  </cols>
  <sheetData>
    <row r="1" spans="1:12" ht="15.95" customHeight="1">
      <c r="A1" s="524" t="str">
        <f>IF(språk=lista[[#Headers],[Svenska]],"Innehåll",IF(språk=lista[[#Headers],[English]],"Contents","FEL"))</f>
        <v>Contents</v>
      </c>
    </row>
    <row r="2" spans="1:12" ht="15.95" customHeight="1"/>
    <row r="3" spans="1:12" ht="15.95" customHeight="1">
      <c r="A3" s="90" t="str">
        <f>IFERROR(INDEX(lista[],MATCH($A5,lista[ID],0),MATCH(språk,lista[#Headers],0)),"")</f>
        <v>Electricity use in the industrial sector, by industry, from 1990, TWh</v>
      </c>
    </row>
    <row r="4" spans="1:12" ht="15.95" customHeight="1">
      <c r="A4" s="90"/>
    </row>
    <row r="5" spans="1:12" s="267" customFormat="1" ht="15.95" hidden="1" customHeight="1">
      <c r="A5" s="268">
        <v>23</v>
      </c>
      <c r="B5" s="267" t="s">
        <v>647</v>
      </c>
      <c r="C5" s="267" t="s">
        <v>648</v>
      </c>
      <c r="D5" s="267" t="s">
        <v>649</v>
      </c>
      <c r="E5" s="267" t="s">
        <v>650</v>
      </c>
      <c r="F5" s="267" t="s">
        <v>651</v>
      </c>
      <c r="G5" s="267" t="s">
        <v>652</v>
      </c>
      <c r="H5" s="267" t="s">
        <v>653</v>
      </c>
      <c r="I5" s="267" t="s">
        <v>654</v>
      </c>
      <c r="J5" s="267" t="s">
        <v>655</v>
      </c>
    </row>
    <row r="6" spans="1:12" ht="52.5">
      <c r="A6" s="91"/>
      <c r="B6" s="79" t="str">
        <f>IFERROR(INDEX(_4.3[],MATCH(språk,_4.3[[id]:[id]],0),MATCH(B$5,_4.3[#Headers],0)),"")</f>
        <v>Pulp and paper</v>
      </c>
      <c r="C6" s="79" t="str">
        <f>IFERROR(INDEX(_4.3[],MATCH(språk,_4.3[[id]:[id]],0),MATCH(C$5,_4.3[#Headers],0)),"")</f>
        <v>Steel and metals</v>
      </c>
      <c r="D6" s="79" t="str">
        <f>IFERROR(INDEX(_4.3[],MATCH(språk,_4.3[[id]:[id]],0),MATCH(D$5,_4.3[#Headers],0)),"")</f>
        <v>Chemical</v>
      </c>
      <c r="E6" s="79" t="str">
        <f>IFERROR(INDEX(_4.3[],MATCH(språk,_4.3[[id]:[id]],0),MATCH(E$5,_4.3[#Headers],0)),"")</f>
        <v>Mechanical engineering</v>
      </c>
      <c r="F6" s="79" t="str">
        <f>IFERROR(INDEX(_4.3[],MATCH(språk,_4.3[[id]:[id]],0),MATCH(F$5,_4.3[#Headers],0)),"")</f>
        <v>Mining</v>
      </c>
      <c r="G6" s="79" t="str">
        <f>IFERROR(INDEX(_4.3[],MATCH(språk,_4.3[[id]:[id]],0),MATCH(G$5,_4.3[#Headers],0)),"")</f>
        <v>Food, beverages, tobacco</v>
      </c>
      <c r="H6" s="79" t="str">
        <f>IFERROR(INDEX(_4.3[],MATCH(språk,_4.3[[id]:[id]],0),MATCH(H$5,_4.3[#Headers],0)),"")</f>
        <v>Non-metallic minerals</v>
      </c>
      <c r="I6" s="79" t="str">
        <f>IFERROR(INDEX(_4.3[],MATCH(språk,_4.3[[id]:[id]],0),MATCH(I$5,_4.3[#Headers],0)),"")</f>
        <v>Wood products</v>
      </c>
      <c r="J6" s="79" t="str">
        <f>IFERROR(INDEX(_4.3[],MATCH(språk,_4.3[[id]:[id]],0),MATCH(J$5,_4.3[#Headers],0)),"")</f>
        <v>Small industries and others</v>
      </c>
      <c r="K6" s="80" t="str">
        <f>IF(språk=lista[[#Headers],[Svenska]],"Totalt",IF(språk=lista[[#Headers],[English]],"Total","FEL"))</f>
        <v>Total</v>
      </c>
    </row>
    <row r="7" spans="1:12" ht="15.95" customHeight="1">
      <c r="A7" s="778">
        <v>1990</v>
      </c>
      <c r="B7" s="779">
        <v>19.682037000000001</v>
      </c>
      <c r="C7" s="779">
        <v>6.8612989999999998</v>
      </c>
      <c r="D7" s="779">
        <v>6.5136320000000003</v>
      </c>
      <c r="E7" s="779">
        <v>7.3186090000000004</v>
      </c>
      <c r="F7" s="779">
        <v>2.3854360000000003</v>
      </c>
      <c r="G7" s="779">
        <v>2.5994999999999999</v>
      </c>
      <c r="H7" s="779">
        <v>1.4689190000000001</v>
      </c>
      <c r="I7" s="779">
        <v>1.9497010000000001</v>
      </c>
      <c r="J7" s="779">
        <v>4.2137589999999996</v>
      </c>
      <c r="K7" s="780">
        <v>52.992891999999998</v>
      </c>
      <c r="L7" s="244"/>
    </row>
    <row r="8" spans="1:12" ht="15.95" customHeight="1">
      <c r="A8" s="497">
        <v>1991</v>
      </c>
      <c r="B8" s="498">
        <v>19.117403999999997</v>
      </c>
      <c r="C8" s="498">
        <v>7.2672049999999997</v>
      </c>
      <c r="D8" s="498">
        <v>5.7109740000000002</v>
      </c>
      <c r="E8" s="498">
        <v>6.7384539999999999</v>
      </c>
      <c r="F8" s="498">
        <v>2.4729459999999999</v>
      </c>
      <c r="G8" s="498">
        <v>2.6104000000000003</v>
      </c>
      <c r="H8" s="498">
        <v>1.400018</v>
      </c>
      <c r="I8" s="498">
        <v>1.835413</v>
      </c>
      <c r="J8" s="498">
        <v>3.5699520000000002</v>
      </c>
      <c r="K8" s="499">
        <v>50.722766</v>
      </c>
      <c r="L8" s="244"/>
    </row>
    <row r="9" spans="1:12" ht="15.95" customHeight="1">
      <c r="A9" s="778">
        <v>1992</v>
      </c>
      <c r="B9" s="779">
        <v>18.840429</v>
      </c>
      <c r="C9" s="779">
        <v>6.9940340000000001</v>
      </c>
      <c r="D9" s="779">
        <v>5.433916</v>
      </c>
      <c r="E9" s="779">
        <v>5.9924939999999998</v>
      </c>
      <c r="F9" s="779">
        <v>2.245968</v>
      </c>
      <c r="G9" s="779">
        <v>2.4645890000000001</v>
      </c>
      <c r="H9" s="779">
        <v>1.1351659999999999</v>
      </c>
      <c r="I9" s="779">
        <v>1.8570450000000001</v>
      </c>
      <c r="J9" s="779">
        <v>4.7306749999999997</v>
      </c>
      <c r="K9" s="780">
        <v>49.694315999999993</v>
      </c>
      <c r="L9" s="244"/>
    </row>
    <row r="10" spans="1:12" ht="15.95" customHeight="1">
      <c r="A10" s="497">
        <v>1993</v>
      </c>
      <c r="B10" s="498">
        <v>18.820489000000002</v>
      </c>
      <c r="C10" s="498">
        <v>6.9940029999999993</v>
      </c>
      <c r="D10" s="498">
        <v>5.3824230000000002</v>
      </c>
      <c r="E10" s="498">
        <v>5.9251100000000001</v>
      </c>
      <c r="F10" s="498">
        <v>2.2432789999999998</v>
      </c>
      <c r="G10" s="498">
        <v>2.445595</v>
      </c>
      <c r="H10" s="498">
        <v>1.1304580000000002</v>
      </c>
      <c r="I10" s="498">
        <v>1.8557739999999998</v>
      </c>
      <c r="J10" s="498">
        <v>4.5570149999999998</v>
      </c>
      <c r="K10" s="499">
        <v>49.354145999999993</v>
      </c>
      <c r="L10" s="244"/>
    </row>
    <row r="11" spans="1:12" ht="15.95" customHeight="1">
      <c r="A11" s="778">
        <v>1994</v>
      </c>
      <c r="B11" s="779">
        <v>19.083243</v>
      </c>
      <c r="C11" s="779">
        <v>7.3066120000000003</v>
      </c>
      <c r="D11" s="779">
        <v>5.6299539999999997</v>
      </c>
      <c r="E11" s="779">
        <v>6.2975600000000007</v>
      </c>
      <c r="F11" s="779">
        <v>2.307299</v>
      </c>
      <c r="G11" s="779">
        <v>2.4752939999999999</v>
      </c>
      <c r="H11" s="779">
        <v>1.200985</v>
      </c>
      <c r="I11" s="779">
        <v>1.9029469999999999</v>
      </c>
      <c r="J11" s="779">
        <v>3.5741429999999998</v>
      </c>
      <c r="K11" s="780">
        <v>49.778036999999998</v>
      </c>
      <c r="L11" s="244"/>
    </row>
    <row r="12" spans="1:12" ht="15.95" customHeight="1">
      <c r="A12" s="497">
        <v>1995</v>
      </c>
      <c r="B12" s="498">
        <v>19.134364000000001</v>
      </c>
      <c r="C12" s="498">
        <v>7.9049269999999998</v>
      </c>
      <c r="D12" s="498">
        <v>5.5455220000000001</v>
      </c>
      <c r="E12" s="498">
        <v>6.8912659999999999</v>
      </c>
      <c r="F12" s="498">
        <v>2.446555</v>
      </c>
      <c r="G12" s="498">
        <v>2.5690059999999999</v>
      </c>
      <c r="H12" s="498">
        <v>1.2871949999999999</v>
      </c>
      <c r="I12" s="498">
        <v>2.051183</v>
      </c>
      <c r="J12" s="498">
        <v>3.5132309999999998</v>
      </c>
      <c r="K12" s="499">
        <v>51.343249</v>
      </c>
      <c r="L12" s="244"/>
    </row>
    <row r="13" spans="1:12" ht="15.95" customHeight="1">
      <c r="A13" s="778">
        <v>1996</v>
      </c>
      <c r="B13" s="779">
        <v>19.021476</v>
      </c>
      <c r="C13" s="779">
        <v>7.5945429999999998</v>
      </c>
      <c r="D13" s="779">
        <v>5.6438960000000007</v>
      </c>
      <c r="E13" s="779">
        <v>7.1847910000000006</v>
      </c>
      <c r="F13" s="779">
        <v>2.516445</v>
      </c>
      <c r="G13" s="779">
        <v>2.5829960000000001</v>
      </c>
      <c r="H13" s="779">
        <v>1.2349049999999999</v>
      </c>
      <c r="I13" s="779">
        <v>2.1630410000000002</v>
      </c>
      <c r="J13" s="779">
        <v>3.548276</v>
      </c>
      <c r="K13" s="780">
        <v>51.490368999999994</v>
      </c>
      <c r="L13" s="244"/>
    </row>
    <row r="14" spans="1:12" ht="15.95" customHeight="1">
      <c r="A14" s="497">
        <v>1997</v>
      </c>
      <c r="B14" s="498">
        <v>19.809244525471261</v>
      </c>
      <c r="C14" s="498">
        <v>7.7472887568053359</v>
      </c>
      <c r="D14" s="498">
        <v>5.345553471606558</v>
      </c>
      <c r="E14" s="498">
        <v>7.143954015085682</v>
      </c>
      <c r="F14" s="498">
        <v>2.558445799270415</v>
      </c>
      <c r="G14" s="498">
        <v>2.3435186266077292</v>
      </c>
      <c r="H14" s="498">
        <v>1.1299087994719492</v>
      </c>
      <c r="I14" s="498">
        <v>2.384529244546052</v>
      </c>
      <c r="J14" s="498">
        <v>4.2015567735352963</v>
      </c>
      <c r="K14" s="499">
        <v>52.66400001240028</v>
      </c>
      <c r="L14" s="244"/>
    </row>
    <row r="15" spans="1:12" ht="15.95" customHeight="1">
      <c r="A15" s="778">
        <v>1998</v>
      </c>
      <c r="B15" s="779">
        <v>20.730067142114894</v>
      </c>
      <c r="C15" s="779">
        <v>7.6164169465277407</v>
      </c>
      <c r="D15" s="779">
        <v>5.5282722771924542</v>
      </c>
      <c r="E15" s="779">
        <v>6.7525379063657303</v>
      </c>
      <c r="F15" s="779">
        <v>2.5839252941664932</v>
      </c>
      <c r="G15" s="779">
        <v>2.2754099281870563</v>
      </c>
      <c r="H15" s="779">
        <v>1.0914374502737949</v>
      </c>
      <c r="I15" s="779">
        <v>2.0502053127105069</v>
      </c>
      <c r="J15" s="779">
        <v>5.2337277160859141</v>
      </c>
      <c r="K15" s="780">
        <v>53.861999973624592</v>
      </c>
      <c r="L15" s="244"/>
    </row>
    <row r="16" spans="1:12" ht="15.95" customHeight="1">
      <c r="A16" s="497">
        <v>1999</v>
      </c>
      <c r="B16" s="498">
        <v>21.529050170518879</v>
      </c>
      <c r="C16" s="498">
        <v>7.5007141274670159</v>
      </c>
      <c r="D16" s="498">
        <v>6.2298123390687978</v>
      </c>
      <c r="E16" s="498">
        <v>7.4638725878748833</v>
      </c>
      <c r="F16" s="498">
        <v>2.4520893399234502</v>
      </c>
      <c r="G16" s="498">
        <v>2.5716972677753445</v>
      </c>
      <c r="H16" s="498">
        <v>1.0475396734569764</v>
      </c>
      <c r="I16" s="498">
        <v>1.9714993089048727</v>
      </c>
      <c r="J16" s="498">
        <v>3.7307347008060119</v>
      </c>
      <c r="K16" s="499">
        <v>54.497009515796229</v>
      </c>
      <c r="L16" s="244"/>
    </row>
    <row r="17" spans="1:12" ht="15.95" customHeight="1">
      <c r="A17" s="778">
        <v>2000</v>
      </c>
      <c r="B17" s="779">
        <v>23.564</v>
      </c>
      <c r="C17" s="779">
        <v>8.11</v>
      </c>
      <c r="D17" s="779">
        <v>6.7110000000000003</v>
      </c>
      <c r="E17" s="779">
        <v>7.4649999999999999</v>
      </c>
      <c r="F17" s="779">
        <v>2.5979999999999999</v>
      </c>
      <c r="G17" s="779">
        <v>2.9889999999999999</v>
      </c>
      <c r="H17" s="779">
        <v>1.1739999999999999</v>
      </c>
      <c r="I17" s="779">
        <v>2.3279999999999998</v>
      </c>
      <c r="J17" s="779">
        <v>1.95</v>
      </c>
      <c r="K17" s="780">
        <v>56.888999999999996</v>
      </c>
      <c r="L17" s="244"/>
    </row>
    <row r="18" spans="1:12" ht="15.95" customHeight="1">
      <c r="A18" s="497">
        <v>2001</v>
      </c>
      <c r="B18" s="498">
        <v>22.654</v>
      </c>
      <c r="C18" s="498">
        <v>7.89</v>
      </c>
      <c r="D18" s="498">
        <v>6.9610000000000003</v>
      </c>
      <c r="E18" s="498">
        <v>7.7009999999999996</v>
      </c>
      <c r="F18" s="498">
        <v>2.5459999999999998</v>
      </c>
      <c r="G18" s="498">
        <v>2.9079999999999999</v>
      </c>
      <c r="H18" s="498">
        <v>1.4410000000000001</v>
      </c>
      <c r="I18" s="498">
        <v>2.23</v>
      </c>
      <c r="J18" s="498">
        <v>1.917</v>
      </c>
      <c r="K18" s="499">
        <v>56.248000000000005</v>
      </c>
      <c r="L18" s="244"/>
    </row>
    <row r="19" spans="1:12" ht="15.95" customHeight="1">
      <c r="A19" s="778">
        <v>2002</v>
      </c>
      <c r="B19" s="779">
        <v>22.73</v>
      </c>
      <c r="C19" s="779">
        <v>7.8449999999999998</v>
      </c>
      <c r="D19" s="779">
        <v>7.0449999999999999</v>
      </c>
      <c r="E19" s="779">
        <v>7.3979999999999997</v>
      </c>
      <c r="F19" s="779">
        <v>2.5720000000000001</v>
      </c>
      <c r="G19" s="779">
        <v>2.7069999999999999</v>
      </c>
      <c r="H19" s="779">
        <v>1.1779999999999999</v>
      </c>
      <c r="I19" s="779">
        <v>2.2839999999999998</v>
      </c>
      <c r="J19" s="779">
        <v>1.9019999999999999</v>
      </c>
      <c r="K19" s="780">
        <v>55.661000000000001</v>
      </c>
      <c r="L19" s="244"/>
    </row>
    <row r="20" spans="1:12" ht="15.95" customHeight="1">
      <c r="A20" s="497">
        <v>2003</v>
      </c>
      <c r="B20" s="498">
        <v>22.59</v>
      </c>
      <c r="C20" s="498">
        <v>7.5229999999999997</v>
      </c>
      <c r="D20" s="498">
        <v>7.1059999999999999</v>
      </c>
      <c r="E20" s="498">
        <v>7.0659999999999998</v>
      </c>
      <c r="F20" s="498">
        <v>2.5830000000000002</v>
      </c>
      <c r="G20" s="498">
        <v>2.4700000000000002</v>
      </c>
      <c r="H20" s="498">
        <v>1.133</v>
      </c>
      <c r="I20" s="498">
        <v>2.2440000000000002</v>
      </c>
      <c r="J20" s="498">
        <v>1.78</v>
      </c>
      <c r="K20" s="499">
        <v>54.495000000000005</v>
      </c>
      <c r="L20" s="244"/>
    </row>
    <row r="21" spans="1:12" ht="15.95" customHeight="1">
      <c r="A21" s="778">
        <v>2004</v>
      </c>
      <c r="B21" s="779">
        <v>23.103999999999999</v>
      </c>
      <c r="C21" s="779">
        <v>8.625</v>
      </c>
      <c r="D21" s="779">
        <v>7.0549999999999997</v>
      </c>
      <c r="E21" s="779">
        <v>6.9930000000000003</v>
      </c>
      <c r="F21" s="779">
        <v>2.5150000000000001</v>
      </c>
      <c r="G21" s="779">
        <v>2.4329999999999998</v>
      </c>
      <c r="H21" s="779">
        <v>1.0449999999999999</v>
      </c>
      <c r="I21" s="779">
        <v>2.202</v>
      </c>
      <c r="J21" s="779">
        <v>1.399</v>
      </c>
      <c r="K21" s="780">
        <v>55.371000000000002</v>
      </c>
      <c r="L21" s="244"/>
    </row>
    <row r="22" spans="1:12" ht="15.95" customHeight="1">
      <c r="A22" s="497">
        <v>2005</v>
      </c>
      <c r="B22" s="498">
        <v>23.715555555555557</v>
      </c>
      <c r="C22" s="498">
        <v>8.5</v>
      </c>
      <c r="D22" s="498">
        <v>6.7030555555555553</v>
      </c>
      <c r="E22" s="498">
        <v>6.9447222222222225</v>
      </c>
      <c r="F22" s="498">
        <v>2.5613888888888887</v>
      </c>
      <c r="G22" s="498">
        <v>2.4369444444444444</v>
      </c>
      <c r="H22" s="498">
        <v>1.0522222222222222</v>
      </c>
      <c r="I22" s="498">
        <v>2.1658333333333335</v>
      </c>
      <c r="J22" s="498">
        <v>1.1986111111111111</v>
      </c>
      <c r="K22" s="499">
        <v>55.278333333333336</v>
      </c>
      <c r="L22" s="244"/>
    </row>
    <row r="23" spans="1:12" ht="15.95" customHeight="1">
      <c r="A23" s="778">
        <v>2006</v>
      </c>
      <c r="B23" s="779">
        <v>24.057500000000001</v>
      </c>
      <c r="C23" s="779">
        <v>8.3949999999999996</v>
      </c>
      <c r="D23" s="779">
        <v>6.4236111111111107</v>
      </c>
      <c r="E23" s="779">
        <v>7.0958333333333332</v>
      </c>
      <c r="F23" s="779">
        <v>2.5433333333333334</v>
      </c>
      <c r="G23" s="779">
        <v>2.4388888888888891</v>
      </c>
      <c r="H23" s="779">
        <v>1.1238888888888889</v>
      </c>
      <c r="I23" s="779">
        <v>2.2094444444444443</v>
      </c>
      <c r="J23" s="779">
        <v>2.2205555555555554</v>
      </c>
      <c r="K23" s="780">
        <v>56.508055555555565</v>
      </c>
      <c r="L23" s="244"/>
    </row>
    <row r="24" spans="1:12" ht="15.95" customHeight="1">
      <c r="A24" s="497">
        <v>2007</v>
      </c>
      <c r="B24" s="498">
        <v>24.154722222222222</v>
      </c>
      <c r="C24" s="498">
        <v>8.3586111111111112</v>
      </c>
      <c r="D24" s="498">
        <v>6.4241666666666664</v>
      </c>
      <c r="E24" s="498">
        <v>7.0338888888888889</v>
      </c>
      <c r="F24" s="498">
        <v>2.7283333333333335</v>
      </c>
      <c r="G24" s="498">
        <v>2.5866666666666664</v>
      </c>
      <c r="H24" s="498">
        <v>1.1425000000000001</v>
      </c>
      <c r="I24" s="498">
        <v>2.1677777777777778</v>
      </c>
      <c r="J24" s="498">
        <v>2.8597222222222221</v>
      </c>
      <c r="K24" s="499">
        <v>57.456388888888888</v>
      </c>
      <c r="L24" s="244"/>
    </row>
    <row r="25" spans="1:12" ht="15.95" customHeight="1">
      <c r="A25" s="778">
        <v>2008</v>
      </c>
      <c r="B25" s="779">
        <v>23.816388888888888</v>
      </c>
      <c r="C25" s="779">
        <v>7.9508333333333336</v>
      </c>
      <c r="D25" s="779">
        <v>6.1269444444444447</v>
      </c>
      <c r="E25" s="779">
        <v>6.4574999999999996</v>
      </c>
      <c r="F25" s="779">
        <v>2.7744444444444443</v>
      </c>
      <c r="G25" s="779">
        <v>2.4994444444444444</v>
      </c>
      <c r="H25" s="779">
        <v>1.1422222222222222</v>
      </c>
      <c r="I25" s="779">
        <v>2.2086111111111113</v>
      </c>
      <c r="J25" s="779">
        <v>2.4925000000000002</v>
      </c>
      <c r="K25" s="780">
        <v>55.468888888888891</v>
      </c>
      <c r="L25" s="244"/>
    </row>
    <row r="26" spans="1:12" ht="15.95" customHeight="1">
      <c r="A26" s="500">
        <v>2009</v>
      </c>
      <c r="B26" s="501">
        <v>22.305</v>
      </c>
      <c r="C26" s="501">
        <v>5.950277777777778</v>
      </c>
      <c r="D26" s="501">
        <v>5.5525000000000002</v>
      </c>
      <c r="E26" s="501">
        <v>5.3849999999999998</v>
      </c>
      <c r="F26" s="501">
        <v>2.4233333333333333</v>
      </c>
      <c r="G26" s="501">
        <v>2.3841666666666668</v>
      </c>
      <c r="H26" s="501">
        <v>0.96111111111111114</v>
      </c>
      <c r="I26" s="501">
        <v>2.0674999999999999</v>
      </c>
      <c r="J26" s="501">
        <v>2.5074999999999998</v>
      </c>
      <c r="K26" s="502">
        <v>49.536388888888887</v>
      </c>
      <c r="L26" s="244"/>
    </row>
    <row r="27" spans="1:12" ht="15.95" customHeight="1">
      <c r="A27" s="778">
        <v>2010</v>
      </c>
      <c r="B27" s="779">
        <v>22.729166666666668</v>
      </c>
      <c r="C27" s="779">
        <v>7.3508333333333331</v>
      </c>
      <c r="D27" s="779">
        <v>6.0311111111111115</v>
      </c>
      <c r="E27" s="779">
        <v>5.6563888888888885</v>
      </c>
      <c r="F27" s="779">
        <v>3.1638888888888888</v>
      </c>
      <c r="G27" s="779">
        <v>2.4555555555555557</v>
      </c>
      <c r="H27" s="779">
        <v>1.0155555555555555</v>
      </c>
      <c r="I27" s="779">
        <v>2.1036111111111113</v>
      </c>
      <c r="J27" s="779">
        <v>2.0947222222222224</v>
      </c>
      <c r="K27" s="780">
        <v>52.600833333333348</v>
      </c>
      <c r="L27" s="244"/>
    </row>
    <row r="28" spans="1:12" ht="15.95" customHeight="1">
      <c r="A28" s="497">
        <v>2011</v>
      </c>
      <c r="B28" s="498">
        <v>22.565277777777776</v>
      </c>
      <c r="C28" s="503">
        <v>7.9780555555555557</v>
      </c>
      <c r="D28" s="503">
        <v>5.7861111111111114</v>
      </c>
      <c r="E28" s="503">
        <v>5.7505555555555556</v>
      </c>
      <c r="F28" s="503">
        <v>3.3250000000000002</v>
      </c>
      <c r="G28" s="503">
        <v>2.4950000000000001</v>
      </c>
      <c r="H28" s="503">
        <v>1.0211111111111111</v>
      </c>
      <c r="I28" s="503">
        <v>2.0311111111111111</v>
      </c>
      <c r="J28" s="503">
        <v>2.1</v>
      </c>
      <c r="K28" s="504">
        <v>53.052222222222227</v>
      </c>
    </row>
    <row r="29" spans="1:12" ht="15.95" customHeight="1">
      <c r="A29" s="778">
        <v>2012</v>
      </c>
      <c r="B29" s="779">
        <v>22.689444444444444</v>
      </c>
      <c r="C29" s="779">
        <v>7.6905555555555551</v>
      </c>
      <c r="D29" s="779">
        <v>5.7922222222222226</v>
      </c>
      <c r="E29" s="779">
        <v>5.5780555555555553</v>
      </c>
      <c r="F29" s="779">
        <v>3.2888888888888888</v>
      </c>
      <c r="G29" s="779">
        <v>2.4602777777777778</v>
      </c>
      <c r="H29" s="779">
        <v>1.0088888888888889</v>
      </c>
      <c r="I29" s="779">
        <v>1.9269444444444443</v>
      </c>
      <c r="J29" s="779">
        <v>2.06</v>
      </c>
      <c r="K29" s="780">
        <v>52.495277777777787</v>
      </c>
    </row>
    <row r="30" spans="1:12" ht="15.95" customHeight="1">
      <c r="A30" s="497">
        <v>2013</v>
      </c>
      <c r="B30" s="498">
        <v>21.421944444444446</v>
      </c>
      <c r="C30" s="503">
        <v>7.5291666666666668</v>
      </c>
      <c r="D30" s="503">
        <v>5.73</v>
      </c>
      <c r="E30" s="503">
        <v>5.4452777777777781</v>
      </c>
      <c r="F30" s="503">
        <v>3.7019444444444445</v>
      </c>
      <c r="G30" s="503">
        <v>2.4</v>
      </c>
      <c r="H30" s="503">
        <v>0.93861111111111106</v>
      </c>
      <c r="I30" s="503">
        <v>1.8372222222222223</v>
      </c>
      <c r="J30" s="503">
        <v>1.9469444444444444</v>
      </c>
      <c r="K30" s="504">
        <v>50.951111111111103</v>
      </c>
    </row>
    <row r="31" spans="1:12" ht="15.95" customHeight="1">
      <c r="A31" s="778">
        <v>2014</v>
      </c>
      <c r="B31" s="779">
        <v>20.458055555555557</v>
      </c>
      <c r="C31" s="779">
        <v>7.2197222222222219</v>
      </c>
      <c r="D31" s="779">
        <v>5.5355555555555558</v>
      </c>
      <c r="E31" s="779">
        <v>5.6127777777777776</v>
      </c>
      <c r="F31" s="779">
        <v>3.5797222222222222</v>
      </c>
      <c r="G31" s="779">
        <v>2.4722222222222223</v>
      </c>
      <c r="H31" s="779">
        <v>0.95833333333333337</v>
      </c>
      <c r="I31" s="779">
        <v>1.8769444444444445</v>
      </c>
      <c r="J31" s="779">
        <v>1.9386111111111111</v>
      </c>
      <c r="K31" s="780">
        <v>49.651944444444446</v>
      </c>
    </row>
    <row r="32" spans="1:12" ht="15.95" customHeight="1">
      <c r="A32" s="497">
        <v>2015</v>
      </c>
      <c r="B32" s="498">
        <v>20.26861111111111</v>
      </c>
      <c r="C32" s="503">
        <v>7.384722222222222</v>
      </c>
      <c r="D32" s="503">
        <v>5.4516666666666671</v>
      </c>
      <c r="E32" s="503">
        <v>5.3108333333333331</v>
      </c>
      <c r="F32" s="503">
        <v>3.5297222222222224</v>
      </c>
      <c r="G32" s="503">
        <v>2.4155555555555557</v>
      </c>
      <c r="H32" s="503">
        <v>0.94694444444444448</v>
      </c>
      <c r="I32" s="503">
        <v>1.8794444444444445</v>
      </c>
      <c r="J32" s="503">
        <v>1.8944444444444444</v>
      </c>
      <c r="K32" s="504">
        <v>49.081944444444453</v>
      </c>
    </row>
    <row r="33" spans="1:1" ht="15.95" customHeight="1"/>
    <row r="34" spans="1:1">
      <c r="A34" s="95" t="s">
        <v>35</v>
      </c>
    </row>
    <row r="35" spans="1:1">
      <c r="A35" s="508" t="s">
        <v>492</v>
      </c>
    </row>
    <row r="36" spans="1:1">
      <c r="A36" s="70" t="s">
        <v>493</v>
      </c>
    </row>
  </sheetData>
  <hyperlinks>
    <hyperlink ref="A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 style="70" customWidth="1"/>
    <col min="2" max="2" width="13.3984375" style="70" customWidth="1"/>
    <col min="3" max="3" width="10.73046875" style="70" customWidth="1"/>
    <col min="4" max="4" width="7.265625" style="70" bestFit="1" customWidth="1"/>
    <col min="5" max="5" width="8.86328125" style="70" customWidth="1"/>
    <col min="6" max="6" width="6.3984375" style="70" bestFit="1" customWidth="1"/>
    <col min="7" max="7" width="9.59765625" style="70" customWidth="1"/>
    <col min="8" max="8" width="9.86328125" style="70" customWidth="1"/>
    <col min="9" max="9" width="7.1328125" style="70" customWidth="1"/>
    <col min="10" max="10" width="10.73046875" style="70" customWidth="1"/>
    <col min="11" max="11" width="5.59765625" style="70" bestFit="1" customWidth="1"/>
    <col min="12" max="16384" width="8" style="70"/>
  </cols>
  <sheetData>
    <row r="1" spans="1:12" ht="15.95" customHeight="1">
      <c r="A1" s="524" t="str">
        <f>IF(språk=lista[[#Headers],[Svenska]],"Innehåll",IF(språk=lista[[#Headers],[English]],"Contents","FEL"))</f>
        <v>Contents</v>
      </c>
    </row>
    <row r="2" spans="1:12" ht="15.95" customHeight="1"/>
    <row r="3" spans="1:12" ht="33.75" customHeight="1">
      <c r="A3" s="1056" t="str">
        <f>IFERROR(INDEX(lista[],MATCH($A5,lista[ID],0),MATCH(språk,lista[#Headers],0)),"")</f>
        <v>Use of fossil fuels (natural gas, petroleum products, coal and coke) in the industrial sector, by industry, from 1990, TWh</v>
      </c>
      <c r="B3" s="1056"/>
      <c r="C3" s="1056"/>
      <c r="D3" s="1056"/>
      <c r="E3" s="1056"/>
      <c r="F3" s="1056"/>
      <c r="G3" s="1056"/>
      <c r="H3" s="1056"/>
      <c r="I3" s="1056"/>
      <c r="J3" s="1056"/>
      <c r="K3" s="1056"/>
    </row>
    <row r="4" spans="1:12" ht="15.95" customHeight="1">
      <c r="A4" s="656"/>
    </row>
    <row r="5" spans="1:12" s="267" customFormat="1" ht="15.95" hidden="1" customHeight="1">
      <c r="A5" s="268">
        <v>24</v>
      </c>
      <c r="B5" s="267" t="s">
        <v>647</v>
      </c>
      <c r="C5" s="267" t="s">
        <v>648</v>
      </c>
      <c r="D5" s="267" t="s">
        <v>649</v>
      </c>
      <c r="E5" s="267" t="s">
        <v>650</v>
      </c>
      <c r="F5" s="267" t="s">
        <v>651</v>
      </c>
      <c r="G5" s="267" t="s">
        <v>652</v>
      </c>
      <c r="H5" s="267" t="s">
        <v>653</v>
      </c>
      <c r="I5" s="267" t="s">
        <v>654</v>
      </c>
      <c r="J5" s="267" t="s">
        <v>655</v>
      </c>
    </row>
    <row r="6" spans="1:12" ht="52.5">
      <c r="A6" s="91"/>
      <c r="B6" s="79" t="str">
        <f>IFERROR(INDEX(_4.4[],MATCH(språk,_4.4[[id]:[id]],0),MATCH(B$5,_4.4[#Headers],0)),"")</f>
        <v>Pulp and paper</v>
      </c>
      <c r="C6" s="79" t="str">
        <f>IFERROR(INDEX(_4.4[],MATCH(språk,_4.4[[id]:[id]],0),MATCH(C$5,_4.4[#Headers],0)),"")</f>
        <v>Steel and metals</v>
      </c>
      <c r="D6" s="79" t="str">
        <f>IFERROR(INDEX(_4.4[],MATCH(språk,_4.4[[id]:[id]],0),MATCH(D$5,_4.4[#Headers],0)),"")</f>
        <v>Chemical</v>
      </c>
      <c r="E6" s="79" t="str">
        <f>IFERROR(INDEX(_4.4[],MATCH(språk,_4.4[[id]:[id]],0),MATCH(E$5,_4.4[#Headers],0)),"")</f>
        <v>Mechanical engineering</v>
      </c>
      <c r="F6" s="79" t="str">
        <f>IFERROR(INDEX(_4.4[],MATCH(språk,_4.4[[id]:[id]],0),MATCH(F$5,_4.4[#Headers],0)),"")</f>
        <v>Mining</v>
      </c>
      <c r="G6" s="79" t="str">
        <f>IFERROR(INDEX(_4.4[],MATCH(språk,_4.4[[id]:[id]],0),MATCH(G$5,_4.4[#Headers],0)),"")</f>
        <v>Food, beverages, tobacco</v>
      </c>
      <c r="H6" s="79" t="str">
        <f>IFERROR(INDEX(_4.4[],MATCH(språk,_4.4[[id]:[id]],0),MATCH(H$5,_4.4[#Headers],0)),"")</f>
        <v>Non-metallic minerals</v>
      </c>
      <c r="I6" s="79" t="str">
        <f>IFERROR(INDEX(_4.4[],MATCH(språk,_4.4[[id]:[id]],0),MATCH(I$5,_4.4[#Headers],0)),"")</f>
        <v>Wood products</v>
      </c>
      <c r="J6" s="79" t="str">
        <f>IFERROR(INDEX(_4.4[],MATCH(språk,_4.4[[id]:[id]],0),MATCH(J$5,_4.4[#Headers],0)),"")</f>
        <v>Small industries and others</v>
      </c>
      <c r="K6" s="80" t="str">
        <f>IF(språk=lista[[#Headers],[Svenska]],"Totalt",IF(språk=lista[[#Headers],[English]],"Total","FEL"))</f>
        <v>Total</v>
      </c>
    </row>
    <row r="7" spans="1:12" ht="15.95" customHeight="1">
      <c r="A7" s="778">
        <v>1990</v>
      </c>
      <c r="B7" s="779">
        <v>5.840043657899999</v>
      </c>
      <c r="C7" s="779">
        <v>14.47827636381111</v>
      </c>
      <c r="D7" s="779">
        <v>2.0357883660999998</v>
      </c>
      <c r="E7" s="779">
        <v>3.5292805329000001</v>
      </c>
      <c r="F7" s="779">
        <v>1.9852039771999999</v>
      </c>
      <c r="G7" s="779">
        <v>3.7579507657</v>
      </c>
      <c r="H7" s="779">
        <v>6.2118375502999994</v>
      </c>
      <c r="I7" s="779">
        <v>0.52742899009999999</v>
      </c>
      <c r="J7" s="779">
        <v>2.4968160620666664</v>
      </c>
      <c r="K7" s="780">
        <v>40.862626266077768</v>
      </c>
      <c r="L7" s="244"/>
    </row>
    <row r="8" spans="1:12" ht="15.95" customHeight="1">
      <c r="A8" s="497">
        <v>1991</v>
      </c>
      <c r="B8" s="498">
        <v>5.0881492266000006</v>
      </c>
      <c r="C8" s="498">
        <v>12.232389843966669</v>
      </c>
      <c r="D8" s="498">
        <v>2.1453238758499995</v>
      </c>
      <c r="E8" s="498">
        <v>3.2358998203999998</v>
      </c>
      <c r="F8" s="498">
        <v>1.2661493914999999</v>
      </c>
      <c r="G8" s="498">
        <v>3.3348936309999999</v>
      </c>
      <c r="H8" s="498">
        <v>6.0659642093000006</v>
      </c>
      <c r="I8" s="498">
        <v>0.45702806829999998</v>
      </c>
      <c r="J8" s="498">
        <v>2.4571198304777773</v>
      </c>
      <c r="K8" s="499">
        <v>36.282917897394448</v>
      </c>
      <c r="L8" s="244"/>
    </row>
    <row r="9" spans="1:12" ht="15.95" customHeight="1">
      <c r="A9" s="778">
        <v>1992</v>
      </c>
      <c r="B9" s="779">
        <v>5.0842189799999993</v>
      </c>
      <c r="C9" s="779">
        <v>12.651830658188887</v>
      </c>
      <c r="D9" s="779">
        <v>1.5103089846</v>
      </c>
      <c r="E9" s="779">
        <v>2.9346163136999999</v>
      </c>
      <c r="F9" s="779">
        <v>1.2190172083999999</v>
      </c>
      <c r="G9" s="779">
        <v>3.3160838462000002</v>
      </c>
      <c r="H9" s="779">
        <v>4.9771201700000001</v>
      </c>
      <c r="I9" s="779">
        <v>0.35807906199999995</v>
      </c>
      <c r="J9" s="779">
        <v>2.9950674054111111</v>
      </c>
      <c r="K9" s="780">
        <v>35.046342628500007</v>
      </c>
      <c r="L9" s="244"/>
    </row>
    <row r="10" spans="1:12" ht="15.95" customHeight="1">
      <c r="A10" s="497">
        <v>1993</v>
      </c>
      <c r="B10" s="498">
        <v>6.5824314724310931</v>
      </c>
      <c r="C10" s="498">
        <v>13.269201231118648</v>
      </c>
      <c r="D10" s="498">
        <v>1.6314693670606739</v>
      </c>
      <c r="E10" s="498">
        <v>2.7949072536657256</v>
      </c>
      <c r="F10" s="498">
        <v>1.1446460911100649</v>
      </c>
      <c r="G10" s="498">
        <v>3.426706147782669</v>
      </c>
      <c r="H10" s="498">
        <v>5.2931120555746123</v>
      </c>
      <c r="I10" s="498">
        <v>0.445053637949404</v>
      </c>
      <c r="J10" s="498">
        <v>1.863145674903266</v>
      </c>
      <c r="K10" s="499">
        <v>36.450672931596159</v>
      </c>
      <c r="L10" s="244"/>
    </row>
    <row r="11" spans="1:12" ht="15.95" customHeight="1">
      <c r="A11" s="778">
        <v>1994</v>
      </c>
      <c r="B11" s="779">
        <v>8.1384189074000002</v>
      </c>
      <c r="C11" s="779">
        <v>14.154307007587997</v>
      </c>
      <c r="D11" s="779">
        <v>1.9238879050472766</v>
      </c>
      <c r="E11" s="779">
        <v>3.1014082782753132</v>
      </c>
      <c r="F11" s="779">
        <v>1.2035730939</v>
      </c>
      <c r="G11" s="779">
        <v>3.4195717434402337</v>
      </c>
      <c r="H11" s="779">
        <v>5.0105243098735253</v>
      </c>
      <c r="I11" s="779">
        <v>0.39082777820000003</v>
      </c>
      <c r="J11" s="779">
        <v>2.2653528922196653</v>
      </c>
      <c r="K11" s="780">
        <v>39.60787191594401</v>
      </c>
      <c r="L11" s="244"/>
    </row>
    <row r="12" spans="1:12" ht="15.95" customHeight="1">
      <c r="A12" s="497">
        <v>1995</v>
      </c>
      <c r="B12" s="498">
        <v>8.0475651858576089</v>
      </c>
      <c r="C12" s="498">
        <v>14.997662733477181</v>
      </c>
      <c r="D12" s="498">
        <v>1.9202618536099421</v>
      </c>
      <c r="E12" s="498">
        <v>3.0008191097809997</v>
      </c>
      <c r="F12" s="498">
        <v>1.516225649862559</v>
      </c>
      <c r="G12" s="498">
        <v>3.5337186060847063</v>
      </c>
      <c r="H12" s="498">
        <v>5.4104981105076799</v>
      </c>
      <c r="I12" s="498">
        <v>0.50725260082316281</v>
      </c>
      <c r="J12" s="498">
        <v>2.6160699538848413</v>
      </c>
      <c r="K12" s="499">
        <v>41.550073803888687</v>
      </c>
      <c r="L12" s="244"/>
    </row>
    <row r="13" spans="1:12" ht="15.95" customHeight="1">
      <c r="A13" s="778">
        <v>1996</v>
      </c>
      <c r="B13" s="779">
        <v>9.3267216807971813</v>
      </c>
      <c r="C13" s="779">
        <v>15.886659502696435</v>
      </c>
      <c r="D13" s="779">
        <v>1.8848481793113532</v>
      </c>
      <c r="E13" s="779">
        <v>2.8895062438086643</v>
      </c>
      <c r="F13" s="779">
        <v>1.5992553626935138</v>
      </c>
      <c r="G13" s="779">
        <v>3.5457852234249967</v>
      </c>
      <c r="H13" s="779">
        <v>5.3110061894412066</v>
      </c>
      <c r="I13" s="779">
        <v>0.4776088238035357</v>
      </c>
      <c r="J13" s="779">
        <v>2.485236353978665</v>
      </c>
      <c r="K13" s="780">
        <v>43.40662755995556</v>
      </c>
      <c r="L13" s="244"/>
    </row>
    <row r="14" spans="1:12" ht="15.95" customHeight="1">
      <c r="A14" s="497">
        <v>1997</v>
      </c>
      <c r="B14" s="498">
        <v>9.7172064294964944</v>
      </c>
      <c r="C14" s="498">
        <v>16.039162987356633</v>
      </c>
      <c r="D14" s="498">
        <v>2.1478806719424468</v>
      </c>
      <c r="E14" s="498">
        <v>2.9080654018656564</v>
      </c>
      <c r="F14" s="498">
        <v>1.5686110503537034</v>
      </c>
      <c r="G14" s="498">
        <v>3.5026218306725454</v>
      </c>
      <c r="H14" s="498">
        <v>4.6082606173083587</v>
      </c>
      <c r="I14" s="498">
        <v>0.63735228452772508</v>
      </c>
      <c r="J14" s="498">
        <v>3.1275397838757222</v>
      </c>
      <c r="K14" s="499">
        <v>44.256701057399283</v>
      </c>
      <c r="L14" s="244"/>
    </row>
    <row r="15" spans="1:12" ht="15.95" customHeight="1">
      <c r="A15" s="778">
        <v>1998</v>
      </c>
      <c r="B15" s="779">
        <v>8.8545700478964875</v>
      </c>
      <c r="C15" s="779">
        <v>15.549057415335868</v>
      </c>
      <c r="D15" s="779">
        <v>1.9877145062652211</v>
      </c>
      <c r="E15" s="779">
        <v>2.900644717652979</v>
      </c>
      <c r="F15" s="779">
        <v>1.5220578650433858</v>
      </c>
      <c r="G15" s="779">
        <v>3.2317058333246522</v>
      </c>
      <c r="H15" s="779">
        <v>4.6250266463524694</v>
      </c>
      <c r="I15" s="779">
        <v>0.41877093158679274</v>
      </c>
      <c r="J15" s="779">
        <v>3.184392422972683</v>
      </c>
      <c r="K15" s="780">
        <v>42.273940386430539</v>
      </c>
      <c r="L15" s="244"/>
    </row>
    <row r="16" spans="1:12" ht="15.95" customHeight="1">
      <c r="A16" s="497">
        <v>1999</v>
      </c>
      <c r="B16" s="498">
        <v>8.3454708662550026</v>
      </c>
      <c r="C16" s="498">
        <v>15.902495561732724</v>
      </c>
      <c r="D16" s="498">
        <v>2.3297568635234205</v>
      </c>
      <c r="E16" s="498">
        <v>2.7280159469620076</v>
      </c>
      <c r="F16" s="498">
        <v>1.452947601640634</v>
      </c>
      <c r="G16" s="498">
        <v>3.6331765305902399</v>
      </c>
      <c r="H16" s="498">
        <v>3.7040540925614174</v>
      </c>
      <c r="I16" s="498">
        <v>0.40594405642176057</v>
      </c>
      <c r="J16" s="498">
        <v>3.6634194522200172</v>
      </c>
      <c r="K16" s="499">
        <v>42.165280971907229</v>
      </c>
      <c r="L16" s="244"/>
    </row>
    <row r="17" spans="1:12" ht="15.95" customHeight="1">
      <c r="A17" s="778">
        <v>2000</v>
      </c>
      <c r="B17" s="779">
        <v>6.8655836499999987</v>
      </c>
      <c r="C17" s="779">
        <v>16.511974518148147</v>
      </c>
      <c r="D17" s="779">
        <v>2.6620348600000003</v>
      </c>
      <c r="E17" s="779">
        <v>2.0200085999999997</v>
      </c>
      <c r="F17" s="779">
        <v>1.8136984999999999</v>
      </c>
      <c r="G17" s="779">
        <v>3.1819644399999998</v>
      </c>
      <c r="H17" s="779">
        <v>5.7897109574074062</v>
      </c>
      <c r="I17" s="779">
        <v>0.45810749000000001</v>
      </c>
      <c r="J17" s="779">
        <v>1.3063621400000001</v>
      </c>
      <c r="K17" s="780">
        <v>40.609445155555555</v>
      </c>
      <c r="L17" s="244"/>
    </row>
    <row r="18" spans="1:12" ht="15.95" customHeight="1">
      <c r="A18" s="497">
        <v>2001</v>
      </c>
      <c r="B18" s="498">
        <v>6.4268669000000012</v>
      </c>
      <c r="C18" s="498">
        <v>17.71695394638127</v>
      </c>
      <c r="D18" s="498">
        <v>2.6179825999999999</v>
      </c>
      <c r="E18" s="498">
        <v>2.4022519</v>
      </c>
      <c r="F18" s="498">
        <v>1.6188692999999998</v>
      </c>
      <c r="G18" s="498">
        <v>2.7432544799999996</v>
      </c>
      <c r="H18" s="498">
        <v>5.6747941158409496</v>
      </c>
      <c r="I18" s="498">
        <v>0.29993069999999999</v>
      </c>
      <c r="J18" s="498">
        <v>1.2003066000000002</v>
      </c>
      <c r="K18" s="499">
        <v>40.701210542222213</v>
      </c>
      <c r="L18" s="244"/>
    </row>
    <row r="19" spans="1:12" ht="15.95" customHeight="1">
      <c r="A19" s="778">
        <v>2002</v>
      </c>
      <c r="B19" s="779">
        <v>6.3696892000000007</v>
      </c>
      <c r="C19" s="779">
        <v>18.079011208058606</v>
      </c>
      <c r="D19" s="779">
        <v>2.7592272999999996</v>
      </c>
      <c r="E19" s="779">
        <v>2.2472276999999998</v>
      </c>
      <c r="F19" s="779">
        <v>1.4637865999999999</v>
      </c>
      <c r="G19" s="779">
        <v>2.8484630000000002</v>
      </c>
      <c r="H19" s="779">
        <v>4.7491659474969472</v>
      </c>
      <c r="I19" s="779">
        <v>0.26658299999999996</v>
      </c>
      <c r="J19" s="779">
        <v>0.98480319999999988</v>
      </c>
      <c r="K19" s="780">
        <v>39.76795715555555</v>
      </c>
      <c r="L19" s="244"/>
    </row>
    <row r="20" spans="1:12" ht="15.95" customHeight="1">
      <c r="A20" s="497">
        <v>2003</v>
      </c>
      <c r="B20" s="498">
        <v>7.5986864650570007</v>
      </c>
      <c r="C20" s="498">
        <v>19.039455629164767</v>
      </c>
      <c r="D20" s="498">
        <v>3.2235664998639999</v>
      </c>
      <c r="E20" s="498">
        <v>2.2698787616680001</v>
      </c>
      <c r="F20" s="498">
        <v>1.3410024066420001</v>
      </c>
      <c r="G20" s="498">
        <v>3.1586925230529999</v>
      </c>
      <c r="H20" s="498">
        <v>4.8009083202131206</v>
      </c>
      <c r="I20" s="498">
        <v>0.279064740403</v>
      </c>
      <c r="J20" s="498">
        <v>0.95014006719400013</v>
      </c>
      <c r="K20" s="499">
        <v>42.66139541325888</v>
      </c>
      <c r="L20" s="244"/>
    </row>
    <row r="21" spans="1:12" ht="15.95" customHeight="1">
      <c r="A21" s="778">
        <v>2004</v>
      </c>
      <c r="B21" s="779">
        <v>7.2728447009000003</v>
      </c>
      <c r="C21" s="779">
        <v>18.758442622031076</v>
      </c>
      <c r="D21" s="779">
        <v>3.4155312914000002</v>
      </c>
      <c r="E21" s="779">
        <v>1.9987835810166665</v>
      </c>
      <c r="F21" s="779">
        <v>1.3597561489999999</v>
      </c>
      <c r="G21" s="779">
        <v>2.6794208153999999</v>
      </c>
      <c r="H21" s="779">
        <v>4.7253263499911533</v>
      </c>
      <c r="I21" s="779">
        <v>0.25062180089999997</v>
      </c>
      <c r="J21" s="779">
        <v>0.83065716810000001</v>
      </c>
      <c r="K21" s="780">
        <v>41.291384478738891</v>
      </c>
      <c r="L21" s="244"/>
    </row>
    <row r="22" spans="1:12" ht="15.95" customHeight="1">
      <c r="A22" s="497">
        <v>2005</v>
      </c>
      <c r="B22" s="498">
        <v>6.3038888888888893</v>
      </c>
      <c r="C22" s="498">
        <v>16.967222222222222</v>
      </c>
      <c r="D22" s="498">
        <v>2.0122222222222224</v>
      </c>
      <c r="E22" s="498">
        <v>2.0347222222222223</v>
      </c>
      <c r="F22" s="498">
        <v>1.3930555555555555</v>
      </c>
      <c r="G22" s="498">
        <v>2.3908333333333331</v>
      </c>
      <c r="H22" s="498">
        <v>4.4177777777777774</v>
      </c>
      <c r="I22" s="498">
        <v>0.22583333333333333</v>
      </c>
      <c r="J22" s="498">
        <v>0.69666666666666666</v>
      </c>
      <c r="K22" s="499">
        <v>36.44222222222222</v>
      </c>
      <c r="L22" s="244"/>
    </row>
    <row r="23" spans="1:12" ht="15.95" customHeight="1">
      <c r="A23" s="778">
        <v>2006</v>
      </c>
      <c r="B23" s="779">
        <v>6.1652777777777779</v>
      </c>
      <c r="C23" s="779">
        <v>17.696944444444444</v>
      </c>
      <c r="D23" s="779">
        <v>2.0947222222222224</v>
      </c>
      <c r="E23" s="779">
        <v>1.8716666666666666</v>
      </c>
      <c r="F23" s="779">
        <v>1.4613888888888888</v>
      </c>
      <c r="G23" s="779">
        <v>2.3144444444444443</v>
      </c>
      <c r="H23" s="779">
        <v>4.5705555555555559</v>
      </c>
      <c r="I23" s="779">
        <v>0.25388888888888889</v>
      </c>
      <c r="J23" s="779">
        <v>0.65888888888888886</v>
      </c>
      <c r="K23" s="780">
        <v>37.087777777777774</v>
      </c>
      <c r="L23" s="244"/>
    </row>
    <row r="24" spans="1:12" ht="15.95" customHeight="1">
      <c r="A24" s="497">
        <v>2007</v>
      </c>
      <c r="B24" s="498">
        <v>5.1702777777777778</v>
      </c>
      <c r="C24" s="498">
        <v>18.770277777777778</v>
      </c>
      <c r="D24" s="498">
        <v>1.99</v>
      </c>
      <c r="E24" s="498">
        <v>1.72</v>
      </c>
      <c r="F24" s="498">
        <v>1.6294444444444445</v>
      </c>
      <c r="G24" s="498">
        <v>2.1072222222222221</v>
      </c>
      <c r="H24" s="498">
        <v>4.4688888888888885</v>
      </c>
      <c r="I24" s="498">
        <v>0.22027777777777777</v>
      </c>
      <c r="J24" s="498">
        <v>0.66694444444444445</v>
      </c>
      <c r="K24" s="499">
        <v>36.743333333333339</v>
      </c>
      <c r="L24" s="244"/>
    </row>
    <row r="25" spans="1:12" ht="15.95" customHeight="1">
      <c r="A25" s="778">
        <v>2008</v>
      </c>
      <c r="B25" s="779">
        <v>5.110555555555556</v>
      </c>
      <c r="C25" s="779">
        <v>17.32138888888889</v>
      </c>
      <c r="D25" s="779">
        <v>1.9602777777777778</v>
      </c>
      <c r="E25" s="779">
        <v>1.486388888888889</v>
      </c>
      <c r="F25" s="779">
        <v>1.8574999999999999</v>
      </c>
      <c r="G25" s="779">
        <v>1.9730555555555556</v>
      </c>
      <c r="H25" s="779">
        <v>4.6444444444444448</v>
      </c>
      <c r="I25" s="779">
        <v>0.20444444444444446</v>
      </c>
      <c r="J25" s="779">
        <v>1.0902777777777777</v>
      </c>
      <c r="K25" s="780">
        <v>35.648333333333341</v>
      </c>
      <c r="L25" s="244"/>
    </row>
    <row r="26" spans="1:12" ht="15.95" customHeight="1">
      <c r="A26" s="500">
        <v>2009</v>
      </c>
      <c r="B26" s="501">
        <v>4.088055555555556</v>
      </c>
      <c r="C26" s="501">
        <v>10.828333333333333</v>
      </c>
      <c r="D26" s="501">
        <v>1.9516666666666667</v>
      </c>
      <c r="E26" s="501">
        <v>1.1741666666666666</v>
      </c>
      <c r="F26" s="501">
        <v>1.4852777777777777</v>
      </c>
      <c r="G26" s="501">
        <v>2.0838888888888887</v>
      </c>
      <c r="H26" s="501">
        <v>3.8719444444444444</v>
      </c>
      <c r="I26" s="501">
        <v>0.19638888888888889</v>
      </c>
      <c r="J26" s="501">
        <v>0.9194444444444444</v>
      </c>
      <c r="K26" s="502">
        <v>26.599166666666672</v>
      </c>
      <c r="L26" s="244"/>
    </row>
    <row r="27" spans="1:12" ht="15.95" customHeight="1">
      <c r="A27" s="778">
        <v>2010</v>
      </c>
      <c r="B27" s="779">
        <v>4.2136111111111108</v>
      </c>
      <c r="C27" s="779">
        <v>16.877777777777776</v>
      </c>
      <c r="D27" s="779">
        <v>2.1191666666666666</v>
      </c>
      <c r="E27" s="779">
        <v>1.351388888888889</v>
      </c>
      <c r="F27" s="779">
        <v>2.0980555555555553</v>
      </c>
      <c r="G27" s="779">
        <v>2.0511111111111111</v>
      </c>
      <c r="H27" s="779">
        <v>3.9802777777777778</v>
      </c>
      <c r="I27" s="779">
        <v>0.21833333333333332</v>
      </c>
      <c r="J27" s="779">
        <v>0.65027777777777773</v>
      </c>
      <c r="K27" s="780">
        <v>33.559999999999995</v>
      </c>
      <c r="L27" s="244"/>
    </row>
    <row r="28" spans="1:12" ht="15.95" customHeight="1">
      <c r="A28" s="497">
        <v>2011</v>
      </c>
      <c r="B28" s="498">
        <v>3.6208333333333331</v>
      </c>
      <c r="C28" s="503">
        <v>16.505277777777778</v>
      </c>
      <c r="D28" s="503">
        <v>2.0669444444444443</v>
      </c>
      <c r="E28" s="503">
        <v>1.0708333333333333</v>
      </c>
      <c r="F28" s="503">
        <v>2.076111111111111</v>
      </c>
      <c r="G28" s="503">
        <v>2.0611111111111109</v>
      </c>
      <c r="H28" s="503">
        <v>4.1658333333333335</v>
      </c>
      <c r="I28" s="503">
        <v>0.21916666666666668</v>
      </c>
      <c r="J28" s="503">
        <v>0.58777777777777773</v>
      </c>
      <c r="K28" s="504">
        <v>32.373888888888892</v>
      </c>
    </row>
    <row r="29" spans="1:12" ht="15.95" customHeight="1">
      <c r="A29" s="778">
        <v>2012</v>
      </c>
      <c r="B29" s="779">
        <v>3.3930555555555557</v>
      </c>
      <c r="C29" s="779">
        <v>14.558611111111111</v>
      </c>
      <c r="D29" s="779">
        <v>1.986388888888889</v>
      </c>
      <c r="E29" s="779">
        <v>1.0533333333333332</v>
      </c>
      <c r="F29" s="779">
        <v>2.0919444444444446</v>
      </c>
      <c r="G29" s="779">
        <v>2.0066666666666668</v>
      </c>
      <c r="H29" s="779">
        <v>4.1691666666666665</v>
      </c>
      <c r="I29" s="779">
        <v>0.17666666666666667</v>
      </c>
      <c r="J29" s="779">
        <v>0.60111111111111115</v>
      </c>
      <c r="K29" s="780">
        <v>30.036944444444448</v>
      </c>
    </row>
    <row r="30" spans="1:12" ht="15.95" customHeight="1">
      <c r="A30" s="497">
        <v>2013</v>
      </c>
      <c r="B30" s="498">
        <v>2.7877777777777779</v>
      </c>
      <c r="C30" s="503">
        <v>14.691111111111111</v>
      </c>
      <c r="D30" s="503">
        <v>1.736388888888889</v>
      </c>
      <c r="E30" s="503">
        <v>1.0125</v>
      </c>
      <c r="F30" s="503">
        <v>1.9602777777777778</v>
      </c>
      <c r="G30" s="503">
        <v>1.8763888888888889</v>
      </c>
      <c r="H30" s="503">
        <v>3.151388888888889</v>
      </c>
      <c r="I30" s="503">
        <v>0.13083333333333333</v>
      </c>
      <c r="J30" s="503">
        <v>0.56611111111111112</v>
      </c>
      <c r="K30" s="504">
        <v>27.91277777777778</v>
      </c>
    </row>
    <row r="31" spans="1:12" ht="15.95" customHeight="1">
      <c r="A31" s="778">
        <v>2014</v>
      </c>
      <c r="B31" s="779">
        <v>2.0916666666666668</v>
      </c>
      <c r="C31" s="779">
        <v>14.881944444444445</v>
      </c>
      <c r="D31" s="779">
        <v>1.6908333333333334</v>
      </c>
      <c r="E31" s="779">
        <v>0.9194444444444444</v>
      </c>
      <c r="F31" s="779">
        <v>2.0216666666666665</v>
      </c>
      <c r="G31" s="779">
        <v>1.7869444444444444</v>
      </c>
      <c r="H31" s="779">
        <v>3.1558333333333333</v>
      </c>
      <c r="I31" s="779">
        <v>9.166666666666666E-2</v>
      </c>
      <c r="J31" s="779">
        <v>0.54805555555555552</v>
      </c>
      <c r="K31" s="780">
        <v>27.188055555555554</v>
      </c>
    </row>
    <row r="32" spans="1:12" ht="15.95" customHeight="1">
      <c r="A32" s="497">
        <v>2015</v>
      </c>
      <c r="B32" s="498">
        <v>2.035277777777778</v>
      </c>
      <c r="C32" s="503">
        <v>13.876666666666667</v>
      </c>
      <c r="D32" s="503">
        <v>1.7966666666666666</v>
      </c>
      <c r="E32" s="503">
        <v>0.98166666666666669</v>
      </c>
      <c r="F32" s="503">
        <v>1.9755555555555555</v>
      </c>
      <c r="G32" s="503">
        <v>1.5052777777777777</v>
      </c>
      <c r="H32" s="503">
        <v>3.1883333333333335</v>
      </c>
      <c r="I32" s="503">
        <v>0.11083333333333334</v>
      </c>
      <c r="J32" s="503">
        <v>0.49972222222222223</v>
      </c>
      <c r="K32" s="504">
        <v>25.969999999999995</v>
      </c>
    </row>
    <row r="33" spans="1:1" ht="15.95" customHeight="1"/>
    <row r="34" spans="1:1">
      <c r="A34" s="95" t="s">
        <v>35</v>
      </c>
    </row>
    <row r="35" spans="1:1">
      <c r="A35" s="508" t="s">
        <v>492</v>
      </c>
    </row>
    <row r="36" spans="1:1">
      <c r="A36" s="70" t="s">
        <v>493</v>
      </c>
    </row>
  </sheetData>
  <mergeCells count="1">
    <mergeCell ref="A3:K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 style="70" customWidth="1"/>
    <col min="2" max="2" width="13.3984375" style="70" customWidth="1"/>
    <col min="3" max="3" width="10.73046875" style="70" customWidth="1"/>
    <col min="4" max="4" width="9.1328125" style="70" customWidth="1"/>
    <col min="5" max="5" width="10.265625" style="70" customWidth="1"/>
    <col min="6" max="6" width="6.3984375" style="70" bestFit="1" customWidth="1"/>
    <col min="7" max="7" width="9.265625" style="70" customWidth="1"/>
    <col min="8" max="8" width="7.59765625" style="70" bestFit="1" customWidth="1"/>
    <col min="9" max="9" width="7.86328125" style="70" customWidth="1"/>
    <col min="10" max="10" width="10.73046875" style="70" customWidth="1"/>
    <col min="11" max="11" width="5.59765625" style="70" bestFit="1" customWidth="1"/>
    <col min="12" max="16384" width="8" style="70"/>
  </cols>
  <sheetData>
    <row r="1" spans="1:12" ht="15.95" customHeight="1">
      <c r="A1" s="524" t="str">
        <f>IF(språk=lista[[#Headers],[Svenska]],"Innehåll",IF(språk=lista[[#Headers],[English]],"Contents","FEL"))</f>
        <v>Contents</v>
      </c>
    </row>
    <row r="2" spans="1:12" ht="15.95" customHeight="1"/>
    <row r="3" spans="1:12" ht="15.95" customHeight="1">
      <c r="A3" s="90" t="str">
        <f>IFERROR(INDEX(lista[],MATCH($A5,lista[ID],0),MATCH(språk,lista[#Headers],0)),"")</f>
        <v>Use of biomass in the industrial sector, by industry, from 1990, TWh</v>
      </c>
    </row>
    <row r="4" spans="1:12" ht="15.95" customHeight="1">
      <c r="A4" s="90"/>
    </row>
    <row r="5" spans="1:12" s="267" customFormat="1" ht="15.95" hidden="1" customHeight="1">
      <c r="A5" s="268">
        <v>25</v>
      </c>
      <c r="B5" s="267" t="s">
        <v>647</v>
      </c>
      <c r="C5" s="267" t="s">
        <v>648</v>
      </c>
      <c r="D5" s="267" t="s">
        <v>649</v>
      </c>
      <c r="E5" s="267" t="s">
        <v>650</v>
      </c>
      <c r="F5" s="267" t="s">
        <v>651</v>
      </c>
      <c r="G5" s="267" t="s">
        <v>652</v>
      </c>
      <c r="H5" s="267" t="s">
        <v>653</v>
      </c>
      <c r="I5" s="267" t="s">
        <v>654</v>
      </c>
      <c r="J5" s="267" t="s">
        <v>655</v>
      </c>
    </row>
    <row r="6" spans="1:12" ht="39.4">
      <c r="A6" s="91"/>
      <c r="B6" s="79" t="str">
        <f>IFERROR(INDEX(_4.5[],MATCH(språk,_4.5[[id]:[id]],0),MATCH(B$5,_4.5[#Headers],0)),"")</f>
        <v>Pulp and paper</v>
      </c>
      <c r="C6" s="79" t="str">
        <f>IFERROR(INDEX(_4.5[],MATCH(språk,_4.5[[id]:[id]],0),MATCH(C$5,_4.5[#Headers],0)),"")</f>
        <v>Steel and metals</v>
      </c>
      <c r="D6" s="79" t="str">
        <f>IFERROR(INDEX(_4.5[],MATCH(språk,_4.5[[id]:[id]],0),MATCH(D$5,_4.5[#Headers],0)),"")</f>
        <v>Chemical</v>
      </c>
      <c r="E6" s="79" t="str">
        <f>IFERROR(INDEX(_4.5[],MATCH(språk,_4.5[[id]:[id]],0),MATCH(E$5,_4.5[#Headers],0)),"")</f>
        <v>Mechanical engineering</v>
      </c>
      <c r="F6" s="79" t="str">
        <f>IFERROR(INDEX(_4.5[],MATCH(språk,_4.5[[id]:[id]],0),MATCH(F$5,_4.5[#Headers],0)),"")</f>
        <v>Mining</v>
      </c>
      <c r="G6" s="79" t="str">
        <f>IFERROR(INDEX(_4.5[],MATCH(språk,_4.5[[id]:[id]],0),MATCH(G$5,_4.5[#Headers],0)),"")</f>
        <v>Food, beverages, tobacco</v>
      </c>
      <c r="H6" s="79" t="str">
        <f>IFERROR(INDEX(_4.5[],MATCH(språk,_4.5[[id]:[id]],0),MATCH(H$5,_4.5[#Headers],0)),"")</f>
        <v>Non-metallic minerals</v>
      </c>
      <c r="I6" s="79" t="str">
        <f>IFERROR(INDEX(_4.5[],MATCH(språk,_4.5[[id]:[id]],0),MATCH(I$5,_4.5[#Headers],0)),"")</f>
        <v>Wood products</v>
      </c>
      <c r="J6" s="79" t="str">
        <f>IFERROR(INDEX(_4.5[],MATCH(språk,_4.5[[id]:[id]],0),MATCH(J$5,_4.5[#Headers],0)),"")</f>
        <v>Small industries and others</v>
      </c>
      <c r="K6" s="80" t="str">
        <f>IF(språk=lista[[#Headers],[Svenska]],"Totalt",IF(språk=lista[[#Headers],[English]],"Total","FEL"))</f>
        <v>Total</v>
      </c>
    </row>
    <row r="7" spans="1:12" ht="15.95" customHeight="1">
      <c r="A7" s="778">
        <v>1990</v>
      </c>
      <c r="B7" s="779">
        <v>35.611060000000002</v>
      </c>
      <c r="C7" s="779">
        <v>0</v>
      </c>
      <c r="D7" s="779">
        <v>0</v>
      </c>
      <c r="E7" s="779">
        <v>2.3260000000000003E-2</v>
      </c>
      <c r="F7" s="779">
        <v>0</v>
      </c>
      <c r="G7" s="779">
        <v>4.6520000000000006E-2</v>
      </c>
      <c r="H7" s="779">
        <v>2.3260000000000003E-2</v>
      </c>
      <c r="I7" s="779">
        <v>6.4081299999999999</v>
      </c>
      <c r="J7" s="779">
        <v>0.55312280000000014</v>
      </c>
      <c r="K7" s="780">
        <v>42.665352800000001</v>
      </c>
      <c r="L7" s="244"/>
    </row>
    <row r="8" spans="1:12" ht="15.95" customHeight="1">
      <c r="A8" s="497">
        <v>1991</v>
      </c>
      <c r="B8" s="498">
        <v>36.715910000000001</v>
      </c>
      <c r="C8" s="498">
        <v>2.3260000000000003E-2</v>
      </c>
      <c r="D8" s="498">
        <v>0</v>
      </c>
      <c r="E8" s="498">
        <v>0</v>
      </c>
      <c r="F8" s="498">
        <v>0</v>
      </c>
      <c r="G8" s="498">
        <v>4.6520000000000006E-2</v>
      </c>
      <c r="H8" s="498">
        <v>3.4889999999999997E-2</v>
      </c>
      <c r="I8" s="498">
        <v>7.0128900000000005</v>
      </c>
      <c r="J8" s="498">
        <v>0.45357000000000003</v>
      </c>
      <c r="K8" s="499">
        <v>44.287039999999998</v>
      </c>
      <c r="L8" s="244"/>
    </row>
    <row r="9" spans="1:12" ht="15.95" customHeight="1">
      <c r="A9" s="778">
        <v>1992</v>
      </c>
      <c r="B9" s="779">
        <v>36.448419999999999</v>
      </c>
      <c r="C9" s="779">
        <v>0</v>
      </c>
      <c r="D9" s="779">
        <v>0</v>
      </c>
      <c r="E9" s="779">
        <v>4.6520000000000006E-2</v>
      </c>
      <c r="F9" s="779">
        <v>0</v>
      </c>
      <c r="G9" s="779">
        <v>3.4889999999999997E-2</v>
      </c>
      <c r="H9" s="779">
        <v>0</v>
      </c>
      <c r="I9" s="779">
        <v>7.0594100000000006</v>
      </c>
      <c r="J9" s="779">
        <v>0.53498000000000001</v>
      </c>
      <c r="K9" s="780">
        <v>44.124219999999994</v>
      </c>
      <c r="L9" s="244"/>
    </row>
    <row r="10" spans="1:12" ht="15.95" customHeight="1">
      <c r="A10" s="497">
        <v>1993</v>
      </c>
      <c r="B10" s="498">
        <v>37.82076</v>
      </c>
      <c r="C10" s="498">
        <v>0</v>
      </c>
      <c r="D10" s="498">
        <v>0</v>
      </c>
      <c r="E10" s="498">
        <v>4.6520000000000006E-2</v>
      </c>
      <c r="F10" s="498">
        <v>0</v>
      </c>
      <c r="G10" s="498">
        <v>4.6520000000000006E-2</v>
      </c>
      <c r="H10" s="498">
        <v>3.4889999999999997E-2</v>
      </c>
      <c r="I10" s="498">
        <v>7.1524500000000009</v>
      </c>
      <c r="J10" s="498">
        <v>0.45905936000000003</v>
      </c>
      <c r="K10" s="499">
        <v>45.560199359999999</v>
      </c>
      <c r="L10" s="244"/>
    </row>
    <row r="11" spans="1:12" ht="15.95" customHeight="1">
      <c r="A11" s="778">
        <v>1994</v>
      </c>
      <c r="B11" s="779">
        <v>37.913800000000002</v>
      </c>
      <c r="C11" s="779">
        <v>0</v>
      </c>
      <c r="D11" s="779">
        <v>0</v>
      </c>
      <c r="E11" s="779">
        <v>0</v>
      </c>
      <c r="F11" s="779">
        <v>0</v>
      </c>
      <c r="G11" s="779">
        <v>0</v>
      </c>
      <c r="H11" s="779">
        <v>6.9779999999999995E-2</v>
      </c>
      <c r="I11" s="779">
        <v>8.0363300000000013</v>
      </c>
      <c r="J11" s="779">
        <v>0.43031000000000003</v>
      </c>
      <c r="K11" s="780">
        <v>46.450220000000002</v>
      </c>
      <c r="L11" s="244"/>
    </row>
    <row r="12" spans="1:12" ht="15.95" customHeight="1">
      <c r="A12" s="497">
        <v>1995</v>
      </c>
      <c r="B12" s="498">
        <v>39.937419999999996</v>
      </c>
      <c r="C12" s="498">
        <v>0</v>
      </c>
      <c r="D12" s="498">
        <v>0</v>
      </c>
      <c r="E12" s="498">
        <v>0</v>
      </c>
      <c r="F12" s="498">
        <v>0</v>
      </c>
      <c r="G12" s="498">
        <v>2.3260000000000003E-2</v>
      </c>
      <c r="H12" s="498">
        <v>0.13955999999999999</v>
      </c>
      <c r="I12" s="498">
        <v>8.4084900000000005</v>
      </c>
      <c r="J12" s="498">
        <v>0.38379000000000002</v>
      </c>
      <c r="K12" s="499">
        <v>48.892519999999998</v>
      </c>
      <c r="L12" s="244"/>
    </row>
    <row r="13" spans="1:12" ht="15.95" customHeight="1">
      <c r="A13" s="778">
        <v>1996</v>
      </c>
      <c r="B13" s="779">
        <v>38.79278377</v>
      </c>
      <c r="C13" s="779">
        <v>2.4544971910928141E-4</v>
      </c>
      <c r="D13" s="779">
        <v>1.3894752932167318</v>
      </c>
      <c r="E13" s="779">
        <v>0.13939879979514919</v>
      </c>
      <c r="F13" s="779">
        <v>4.7633886166123258E-3</v>
      </c>
      <c r="G13" s="779">
        <v>0.30316368441780789</v>
      </c>
      <c r="H13" s="779">
        <v>8.653142639784837E-3</v>
      </c>
      <c r="I13" s="779">
        <v>7.71820298</v>
      </c>
      <c r="J13" s="779">
        <v>0.19856050242994736</v>
      </c>
      <c r="K13" s="780">
        <v>48.555247010835153</v>
      </c>
      <c r="L13" s="244"/>
    </row>
    <row r="14" spans="1:12" ht="15.95" customHeight="1">
      <c r="A14" s="497">
        <v>1997</v>
      </c>
      <c r="B14" s="498">
        <v>43.25772332525986</v>
      </c>
      <c r="C14" s="498">
        <v>7.0890398107368736E-3</v>
      </c>
      <c r="D14" s="498">
        <v>0.21861232508223935</v>
      </c>
      <c r="E14" s="498">
        <v>9.3622162224733282E-2</v>
      </c>
      <c r="F14" s="498">
        <v>0</v>
      </c>
      <c r="G14" s="498">
        <v>7.684972834907014E-2</v>
      </c>
      <c r="H14" s="498">
        <v>5.2655185588109173E-2</v>
      </c>
      <c r="I14" s="498">
        <v>7.5404412516571879</v>
      </c>
      <c r="J14" s="498">
        <v>0.19249254964451282</v>
      </c>
      <c r="K14" s="499">
        <v>51.439485567616444</v>
      </c>
      <c r="L14" s="244"/>
    </row>
    <row r="15" spans="1:12" ht="15.95" customHeight="1">
      <c r="A15" s="778">
        <v>1998</v>
      </c>
      <c r="B15" s="779">
        <v>43.817081690000009</v>
      </c>
      <c r="C15" s="779">
        <v>0</v>
      </c>
      <c r="D15" s="779">
        <v>0.27312629999999999</v>
      </c>
      <c r="E15" s="779">
        <v>2.8990142E-2</v>
      </c>
      <c r="F15" s="779">
        <v>1.4151E-2</v>
      </c>
      <c r="G15" s="779">
        <v>0.11334525000000001</v>
      </c>
      <c r="H15" s="779">
        <v>3.9246224999999996E-2</v>
      </c>
      <c r="I15" s="779">
        <v>5.7193667000000001</v>
      </c>
      <c r="J15" s="779">
        <v>0.21847055000000004</v>
      </c>
      <c r="K15" s="780">
        <v>50.223777857000009</v>
      </c>
      <c r="L15" s="244"/>
    </row>
    <row r="16" spans="1:12" ht="15.95" customHeight="1">
      <c r="A16" s="497">
        <v>1999</v>
      </c>
      <c r="B16" s="498">
        <v>44.237886730000007</v>
      </c>
      <c r="C16" s="498">
        <v>0</v>
      </c>
      <c r="D16" s="498">
        <v>1.47046754</v>
      </c>
      <c r="E16" s="498">
        <v>3.0597000000000003E-2</v>
      </c>
      <c r="F16" s="498">
        <v>3.7500000000000006E-4</v>
      </c>
      <c r="G16" s="498">
        <v>0.44014722083333346</v>
      </c>
      <c r="H16" s="498">
        <v>3.8923700000000006E-2</v>
      </c>
      <c r="I16" s="498">
        <v>5.4178467516168807</v>
      </c>
      <c r="J16" s="498">
        <v>0.24585586258838388</v>
      </c>
      <c r="K16" s="499">
        <v>51.8820998050386</v>
      </c>
      <c r="L16" s="244"/>
    </row>
    <row r="17" spans="1:12" ht="15.95" customHeight="1">
      <c r="A17" s="778">
        <v>2000</v>
      </c>
      <c r="B17" s="779">
        <v>45.377934000000003</v>
      </c>
      <c r="C17" s="779">
        <v>0</v>
      </c>
      <c r="D17" s="779">
        <v>0.28144600000000003</v>
      </c>
      <c r="E17" s="779">
        <v>0.146538</v>
      </c>
      <c r="F17" s="779">
        <v>1.163E-3</v>
      </c>
      <c r="G17" s="779">
        <v>7.9084000000000002E-2</v>
      </c>
      <c r="H17" s="779">
        <v>3.3727000000000007E-2</v>
      </c>
      <c r="I17" s="779">
        <v>5.4056240000000004</v>
      </c>
      <c r="J17" s="779">
        <v>0.26865300000000003</v>
      </c>
      <c r="K17" s="780">
        <v>51.594169000000008</v>
      </c>
      <c r="L17" s="244"/>
    </row>
    <row r="18" spans="1:12" ht="15.95" customHeight="1">
      <c r="A18" s="497">
        <v>2001</v>
      </c>
      <c r="B18" s="498">
        <v>44.687788144940001</v>
      </c>
      <c r="C18" s="498">
        <v>0</v>
      </c>
      <c r="D18" s="498">
        <v>0.20152553551000002</v>
      </c>
      <c r="E18" s="498">
        <v>3.4995413156999999E-2</v>
      </c>
      <c r="F18" s="498">
        <v>7.8175697000000012E-4</v>
      </c>
      <c r="G18" s="498">
        <v>4.3829120380000003E-2</v>
      </c>
      <c r="H18" s="498">
        <v>5.2071929400000001E-2</v>
      </c>
      <c r="I18" s="498">
        <v>5.2630251973000002</v>
      </c>
      <c r="J18" s="498">
        <v>0.20956056295000003</v>
      </c>
      <c r="K18" s="499">
        <v>50.493577660607009</v>
      </c>
      <c r="L18" s="244"/>
    </row>
    <row r="19" spans="1:12" ht="15.95" customHeight="1">
      <c r="A19" s="778">
        <v>2002</v>
      </c>
      <c r="B19" s="779">
        <v>48.093966983999998</v>
      </c>
      <c r="C19" s="779">
        <v>5.1371687099999997E-5</v>
      </c>
      <c r="D19" s="779">
        <v>0.19771</v>
      </c>
      <c r="E19" s="779">
        <v>3.4889999999999997E-2</v>
      </c>
      <c r="F19" s="779">
        <v>0</v>
      </c>
      <c r="G19" s="779">
        <v>2.3260000000000003E-2</v>
      </c>
      <c r="H19" s="779">
        <v>4.6520000000000006E-2</v>
      </c>
      <c r="I19" s="779">
        <v>5.2683900000000001</v>
      </c>
      <c r="J19" s="779">
        <v>0.17444999999999999</v>
      </c>
      <c r="K19" s="780">
        <v>53.839238355687094</v>
      </c>
      <c r="L19" s="244"/>
    </row>
    <row r="20" spans="1:12" ht="15.95" customHeight="1">
      <c r="A20" s="497">
        <v>2003</v>
      </c>
      <c r="B20" s="498">
        <v>49.325801813900007</v>
      </c>
      <c r="C20" s="498">
        <v>1.4103701000000002E-3</v>
      </c>
      <c r="D20" s="498">
        <v>0.17592584700000002</v>
      </c>
      <c r="E20" s="498">
        <v>3.2308721499999998E-2</v>
      </c>
      <c r="F20" s="498">
        <v>1.4513077E-3</v>
      </c>
      <c r="G20" s="498">
        <v>2.3260000000000003E-2</v>
      </c>
      <c r="H20" s="498">
        <v>2.4009088300000002E-2</v>
      </c>
      <c r="I20" s="498">
        <v>5.3113258665999998</v>
      </c>
      <c r="J20" s="498">
        <v>0.20367456180000001</v>
      </c>
      <c r="K20" s="499">
        <v>55.099167576900008</v>
      </c>
      <c r="L20" s="244"/>
    </row>
    <row r="21" spans="1:12" ht="15.95" customHeight="1">
      <c r="A21" s="778">
        <v>2004</v>
      </c>
      <c r="B21" s="779">
        <v>50.309033065999998</v>
      </c>
      <c r="C21" s="779">
        <v>5.1371687099999997E-5</v>
      </c>
      <c r="D21" s="779">
        <v>0.20224570000000003</v>
      </c>
      <c r="E21" s="779">
        <v>2.8051560000000003E-2</v>
      </c>
      <c r="F21" s="779">
        <v>3.4889999999999997E-4</v>
      </c>
      <c r="G21" s="779">
        <v>8.8853200000000004E-3</v>
      </c>
      <c r="H21" s="779">
        <v>2.2003959999999999E-2</v>
      </c>
      <c r="I21" s="779">
        <v>4.1857765599999999</v>
      </c>
      <c r="J21" s="779">
        <v>0.47728356999999999</v>
      </c>
      <c r="K21" s="780">
        <v>55.233680007687092</v>
      </c>
      <c r="L21" s="244"/>
    </row>
    <row r="22" spans="1:12" ht="15.95" customHeight="1">
      <c r="A22" s="497">
        <v>2005</v>
      </c>
      <c r="B22" s="498">
        <v>47.148333333333333</v>
      </c>
      <c r="C22" s="498">
        <v>2.7777777777777778E-4</v>
      </c>
      <c r="D22" s="498">
        <v>0.255</v>
      </c>
      <c r="E22" s="498">
        <v>5.527777777777778E-2</v>
      </c>
      <c r="F22" s="498">
        <v>5.5555555555555556E-4</v>
      </c>
      <c r="G22" s="498">
        <v>6.5000000000000002E-2</v>
      </c>
      <c r="H22" s="498">
        <v>3.4444444444444444E-2</v>
      </c>
      <c r="I22" s="498">
        <v>5.23</v>
      </c>
      <c r="J22" s="498">
        <v>0.20222222222222222</v>
      </c>
      <c r="K22" s="499">
        <v>52.991111111111117</v>
      </c>
      <c r="L22" s="244"/>
    </row>
    <row r="23" spans="1:12" ht="15.95" customHeight="1">
      <c r="A23" s="778">
        <v>2006</v>
      </c>
      <c r="B23" s="779">
        <v>47.196111111111108</v>
      </c>
      <c r="C23" s="779">
        <v>0</v>
      </c>
      <c r="D23" s="779">
        <v>0.22388888888888889</v>
      </c>
      <c r="E23" s="779">
        <v>5.6111111111111112E-2</v>
      </c>
      <c r="F23" s="779">
        <v>5.5555555555555556E-4</v>
      </c>
      <c r="G23" s="779">
        <v>0.21222222222222223</v>
      </c>
      <c r="H23" s="779">
        <v>0.14583333333333334</v>
      </c>
      <c r="I23" s="779">
        <v>5.2158333333333333</v>
      </c>
      <c r="J23" s="779">
        <v>0.25444444444444442</v>
      </c>
      <c r="K23" s="780">
        <v>53.305000000000007</v>
      </c>
      <c r="L23" s="244"/>
    </row>
    <row r="24" spans="1:12" ht="15.95" customHeight="1">
      <c r="A24" s="497">
        <v>2007</v>
      </c>
      <c r="B24" s="498">
        <v>49.168611111111112</v>
      </c>
      <c r="C24" s="498">
        <v>2.7777777777777778E-4</v>
      </c>
      <c r="D24" s="498">
        <v>0.31722222222222224</v>
      </c>
      <c r="E24" s="498">
        <v>0.10583333333333333</v>
      </c>
      <c r="F24" s="498">
        <v>5.5555555555555556E-4</v>
      </c>
      <c r="G24" s="498">
        <v>0.29749999999999999</v>
      </c>
      <c r="H24" s="498">
        <v>0.12138888888888889</v>
      </c>
      <c r="I24" s="498">
        <v>4.8049999999999997</v>
      </c>
      <c r="J24" s="498">
        <v>0.27694444444444444</v>
      </c>
      <c r="K24" s="499">
        <v>55.093333333333334</v>
      </c>
      <c r="L24" s="244"/>
    </row>
    <row r="25" spans="1:12" ht="15.95" customHeight="1">
      <c r="A25" s="778">
        <v>2008</v>
      </c>
      <c r="B25" s="779">
        <v>48.024722222222223</v>
      </c>
      <c r="C25" s="779">
        <v>5.5555555555555556E-4</v>
      </c>
      <c r="D25" s="779">
        <v>0.40555555555555556</v>
      </c>
      <c r="E25" s="779">
        <v>9.1388888888888895E-2</v>
      </c>
      <c r="F25" s="779">
        <v>0</v>
      </c>
      <c r="G25" s="779">
        <v>0.45472222222222225</v>
      </c>
      <c r="H25" s="779">
        <v>0.1225</v>
      </c>
      <c r="I25" s="779">
        <v>4.915</v>
      </c>
      <c r="J25" s="779">
        <v>0.14277777777777778</v>
      </c>
      <c r="K25" s="780">
        <v>54.157222222222231</v>
      </c>
      <c r="L25" s="244"/>
    </row>
    <row r="26" spans="1:12" ht="15.95" customHeight="1">
      <c r="A26" s="500">
        <v>2009</v>
      </c>
      <c r="B26" s="501">
        <v>47.00888888888889</v>
      </c>
      <c r="C26" s="501">
        <v>1.1111111111111111E-3</v>
      </c>
      <c r="D26" s="501">
        <v>0.4127777777777778</v>
      </c>
      <c r="E26" s="501">
        <v>5.6388888888888891E-2</v>
      </c>
      <c r="F26" s="501">
        <v>5.5555555555555556E-4</v>
      </c>
      <c r="G26" s="501">
        <v>0.38250000000000001</v>
      </c>
      <c r="H26" s="501">
        <v>0.1386111111111111</v>
      </c>
      <c r="I26" s="501">
        <v>4.4955555555555557</v>
      </c>
      <c r="J26" s="501">
        <v>0.12111111111111111</v>
      </c>
      <c r="K26" s="502">
        <v>52.6175</v>
      </c>
      <c r="L26" s="244"/>
    </row>
    <row r="27" spans="1:12" ht="15.95" customHeight="1">
      <c r="A27" s="778">
        <v>2010</v>
      </c>
      <c r="B27" s="779">
        <v>48.404444444444444</v>
      </c>
      <c r="C27" s="779">
        <v>1.6666666666666668E-3</v>
      </c>
      <c r="D27" s="779">
        <v>0.41916666666666669</v>
      </c>
      <c r="E27" s="779">
        <v>0.14611111111111111</v>
      </c>
      <c r="F27" s="779">
        <v>5.5555555555555556E-4</v>
      </c>
      <c r="G27" s="779">
        <v>0.41</v>
      </c>
      <c r="H27" s="779">
        <v>0.15694444444444444</v>
      </c>
      <c r="I27" s="779">
        <v>4.6950000000000003</v>
      </c>
      <c r="J27" s="779">
        <v>0.18777777777777777</v>
      </c>
      <c r="K27" s="780">
        <v>54.42166666666666</v>
      </c>
      <c r="L27" s="244"/>
    </row>
    <row r="28" spans="1:12" ht="15.95" customHeight="1">
      <c r="A28" s="497">
        <v>2011</v>
      </c>
      <c r="B28" s="498">
        <v>48.427777777777777</v>
      </c>
      <c r="C28" s="503">
        <v>2.2222222222222222E-3</v>
      </c>
      <c r="D28" s="503">
        <v>0.4786111111111111</v>
      </c>
      <c r="E28" s="503">
        <v>4.3333333333333335E-2</v>
      </c>
      <c r="F28" s="503">
        <v>0</v>
      </c>
      <c r="G28" s="503">
        <v>0.29083333333333333</v>
      </c>
      <c r="H28" s="503">
        <v>0.31277777777777777</v>
      </c>
      <c r="I28" s="503">
        <v>4.2702777777777774</v>
      </c>
      <c r="J28" s="503">
        <v>0.14583333333333334</v>
      </c>
      <c r="K28" s="504">
        <v>53.971666666666671</v>
      </c>
    </row>
    <row r="29" spans="1:12" ht="15.95" customHeight="1">
      <c r="A29" s="778">
        <v>2012</v>
      </c>
      <c r="B29" s="779">
        <v>49.342222222222219</v>
      </c>
      <c r="C29" s="779">
        <v>1.9444444444444444E-3</v>
      </c>
      <c r="D29" s="779">
        <v>0.39666666666666667</v>
      </c>
      <c r="E29" s="779">
        <v>5.4444444444444441E-2</v>
      </c>
      <c r="F29" s="779">
        <v>0</v>
      </c>
      <c r="G29" s="779">
        <v>0.3263888888888889</v>
      </c>
      <c r="H29" s="779">
        <v>0.29722222222222222</v>
      </c>
      <c r="I29" s="779">
        <v>4.591388888888889</v>
      </c>
      <c r="J29" s="779">
        <v>0.16527777777777777</v>
      </c>
      <c r="K29" s="780">
        <v>55.175555555555547</v>
      </c>
    </row>
    <row r="30" spans="1:12" ht="15.95" customHeight="1">
      <c r="A30" s="497">
        <v>2013</v>
      </c>
      <c r="B30" s="498">
        <v>49.616388888888892</v>
      </c>
      <c r="C30" s="503">
        <v>5.5555555555555556E-4</v>
      </c>
      <c r="D30" s="503">
        <v>0.45916666666666667</v>
      </c>
      <c r="E30" s="503">
        <v>5.5555555555555552E-2</v>
      </c>
      <c r="F30" s="503">
        <v>0</v>
      </c>
      <c r="G30" s="503">
        <v>0.36222222222222222</v>
      </c>
      <c r="H30" s="503">
        <v>0.34138888888888891</v>
      </c>
      <c r="I30" s="503">
        <v>4.3255555555555558</v>
      </c>
      <c r="J30" s="503">
        <v>0.1686111111111111</v>
      </c>
      <c r="K30" s="504">
        <v>55.329444444444448</v>
      </c>
    </row>
    <row r="31" spans="1:12" ht="15.95" customHeight="1">
      <c r="A31" s="778">
        <v>2014</v>
      </c>
      <c r="B31" s="779">
        <v>50.475000000000001</v>
      </c>
      <c r="C31" s="779">
        <v>1.6666666666666668E-3</v>
      </c>
      <c r="D31" s="779">
        <v>0.32166666666666666</v>
      </c>
      <c r="E31" s="779">
        <v>5.7777777777777775E-2</v>
      </c>
      <c r="F31" s="779">
        <v>0</v>
      </c>
      <c r="G31" s="779">
        <v>0.46027777777777779</v>
      </c>
      <c r="H31" s="779">
        <v>0.30277777777777776</v>
      </c>
      <c r="I31" s="779">
        <v>4.5558333333333332</v>
      </c>
      <c r="J31" s="779">
        <v>0.22777777777777777</v>
      </c>
      <c r="K31" s="780">
        <v>56.402777777777771</v>
      </c>
    </row>
    <row r="32" spans="1:12" ht="15.95" customHeight="1">
      <c r="A32" s="497">
        <v>2015</v>
      </c>
      <c r="B32" s="498">
        <v>50.880833333333335</v>
      </c>
      <c r="C32" s="503">
        <v>2.2222222222222222E-3</v>
      </c>
      <c r="D32" s="503">
        <v>0.35583333333333333</v>
      </c>
      <c r="E32" s="503">
        <v>0.10444444444444445</v>
      </c>
      <c r="F32" s="503">
        <v>0</v>
      </c>
      <c r="G32" s="503">
        <v>0.32750000000000001</v>
      </c>
      <c r="H32" s="503">
        <v>0.35555555555555557</v>
      </c>
      <c r="I32" s="503">
        <v>4.5477777777777781</v>
      </c>
      <c r="J32" s="503">
        <v>0.16388888888888889</v>
      </c>
      <c r="K32" s="504">
        <v>56.738055555555562</v>
      </c>
    </row>
    <row r="33" spans="1:1" ht="15.95" customHeight="1"/>
    <row r="34" spans="1:1">
      <c r="A34" s="95" t="s">
        <v>35</v>
      </c>
    </row>
    <row r="35" spans="1:1">
      <c r="A35" s="508" t="s">
        <v>492</v>
      </c>
    </row>
    <row r="36" spans="1:1">
      <c r="A36" s="70" t="s">
        <v>493</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tabColor theme="1"/>
  </sheetPr>
  <dimension ref="A1:I134"/>
  <sheetViews>
    <sheetView showGridLines="0" tabSelected="1" topLeftCell="B1" zoomScaleNormal="100" workbookViewId="0">
      <selection activeCell="B1" sqref="B1"/>
    </sheetView>
  </sheetViews>
  <sheetFormatPr defaultColWidth="8.86328125" defaultRowHeight="14.25"/>
  <cols>
    <col min="1" max="1" width="8.86328125" style="301" hidden="1" customWidth="1"/>
    <col min="2" max="2" width="4.265625" style="579" customWidth="1"/>
    <col min="3" max="3" width="95.73046875" style="301" bestFit="1" customWidth="1"/>
    <col min="4" max="4" width="45" style="301" customWidth="1"/>
    <col min="5" max="5" width="8.86328125" style="301"/>
    <col min="6" max="6" width="8.1328125" style="301" hidden="1" customWidth="1"/>
    <col min="7" max="7" width="23.3984375" style="301" hidden="1" customWidth="1"/>
    <col min="8" max="8" width="28.265625" style="301" customWidth="1"/>
    <col min="9" max="9" width="8.86328125" style="301" customWidth="1"/>
    <col min="10" max="10" width="8.1328125" style="301" bestFit="1" customWidth="1"/>
    <col min="11" max="11" width="4.1328125" style="301" customWidth="1"/>
    <col min="12" max="16384" width="8.86328125" style="301"/>
  </cols>
  <sheetData>
    <row r="1" spans="1:9" ht="43.5" customHeight="1">
      <c r="A1" s="301">
        <v>1</v>
      </c>
      <c r="C1" s="505" t="str">
        <f>IFERROR(INDEX(lista[],MATCH($A1,lista[ID],0),MATCH(språk,lista[#Headers],0)),"")</f>
        <v>Energy in Sweden Facts and Figures 2017</v>
      </c>
      <c r="D1" s="1018"/>
      <c r="E1" s="1016"/>
      <c r="F1" s="301" t="s">
        <v>542</v>
      </c>
      <c r="G1" s="1017" t="s">
        <v>543</v>
      </c>
    </row>
    <row r="2" spans="1:9" ht="41.25" customHeight="1">
      <c r="A2" s="301">
        <v>2</v>
      </c>
      <c r="B2" s="924"/>
      <c r="C2" s="926" t="str">
        <f>IFERROR(INDEX(lista[],MATCH($A2,lista[ID],0),MATCH(språk,lista[#Headers],0)),"")</f>
        <v xml:space="preserve">Energy in Sweden Facts and Figures is a yearly collection of statistics. Energy in Sweden, with explanations and analyses, was published in the autumn of 2017. Recent versions are available on the Swedish Energy Agency website: </v>
      </c>
      <c r="F2" s="301" t="s">
        <v>543</v>
      </c>
    </row>
    <row r="3" spans="1:9">
      <c r="A3" s="301">
        <v>3</v>
      </c>
      <c r="B3" s="924"/>
      <c r="C3" s="925" t="str">
        <f>IFERROR(INDEX(lista[],MATCH($A3,lista[ID],0),MATCH(språk,lista[#Headers],0)),"")</f>
        <v>Swedish Energy Agency – Energy in Sweden</v>
      </c>
    </row>
    <row r="4" spans="1:9" s="579" customFormat="1">
      <c r="B4" s="924"/>
      <c r="C4" s="932" t="str">
        <f>IFERROR(INDEX(lista[],MATCH($A4,lista[ID],0),MATCH(språk,lista[#Headers],0)),"")</f>
        <v/>
      </c>
      <c r="F4" s="969"/>
      <c r="G4" s="301"/>
      <c r="H4" s="301"/>
      <c r="I4" s="301"/>
    </row>
    <row r="5" spans="1:9">
      <c r="A5" s="301">
        <v>4</v>
      </c>
      <c r="B5" s="98"/>
      <c r="C5" s="451" t="str">
        <f>IFERROR(INDEX(lista[],MATCH($A5,lista[ID],0),MATCH(språk,lista[#Headers],0)),"")</f>
        <v>About the statistics</v>
      </c>
      <c r="D5" s="579"/>
      <c r="E5" s="579"/>
    </row>
    <row r="6" spans="1:9">
      <c r="A6" s="301">
        <v>5</v>
      </c>
      <c r="B6" s="98" t="s">
        <v>367</v>
      </c>
      <c r="C6" s="658" t="str">
        <f>IFERROR(INDEX(lista[],MATCH($A6,lista[ID],0),MATCH(språk,lista[#Headers],0)),"")</f>
        <v>Information on the statistics</v>
      </c>
      <c r="E6" s="579"/>
    </row>
    <row r="7" spans="1:9">
      <c r="B7" s="98"/>
      <c r="C7" s="527" t="str">
        <f>IFERROR(INDEX(lista[],MATCH($A7,lista[ID],0),MATCH(språk,lista[#Headers],0)),"")</f>
        <v/>
      </c>
      <c r="D7" s="579"/>
      <c r="E7" s="579"/>
    </row>
    <row r="8" spans="1:9">
      <c r="A8" s="301">
        <v>6</v>
      </c>
      <c r="B8" s="98"/>
      <c r="C8" s="451" t="str">
        <f>IFERROR(INDEX(lista[],MATCH($A8,lista[ID],0),MATCH(språk,lista[#Headers],0)),"")</f>
        <v>Total energy supply and total energy use</v>
      </c>
      <c r="D8" s="579"/>
      <c r="E8" s="579"/>
    </row>
    <row r="9" spans="1:9">
      <c r="A9" s="301">
        <v>7</v>
      </c>
      <c r="B9" s="98" t="s">
        <v>296</v>
      </c>
      <c r="C9" s="927" t="str">
        <f>IFERROR(INDEX(lista[],MATCH($A9,lista[ID],0),MATCH(språk,lista[#Headers],0)),"")</f>
        <v>Energy supply and use in Sweden 2016, TWh</v>
      </c>
      <c r="E9" s="579"/>
    </row>
    <row r="10" spans="1:9">
      <c r="A10" s="301">
        <v>8</v>
      </c>
      <c r="B10" s="98" t="s">
        <v>297</v>
      </c>
      <c r="C10" s="928" t="str">
        <f>IFERROR(INDEX(lista[],MATCH($A10,lista[ID],0),MATCH(språk,lista[#Headers],0)),"")</f>
        <v>Total energy supply by energy commodity, from 1970, TWh</v>
      </c>
      <c r="E10" s="579"/>
    </row>
    <row r="11" spans="1:9">
      <c r="A11" s="301">
        <v>9</v>
      </c>
      <c r="B11" s="98" t="s">
        <v>298</v>
      </c>
      <c r="C11" s="927" t="str">
        <f>IFERROR(INDEX(lista[],MATCH($A11,lista[ID],0),MATCH(språk,lista[#Headers],0)),"")</f>
        <v>Total energy use, by final energy, losses etc., from 1970, TWh</v>
      </c>
      <c r="E11" s="579"/>
    </row>
    <row r="12" spans="1:9">
      <c r="B12" s="98"/>
      <c r="C12" s="929" t="str">
        <f>IFERROR(INDEX(lista[],MATCH($A12,lista[ID],0),MATCH(språk,lista[#Headers],0)),"")</f>
        <v/>
      </c>
      <c r="E12" s="579"/>
    </row>
    <row r="13" spans="1:9">
      <c r="A13" s="301">
        <v>10</v>
      </c>
      <c r="B13" s="98"/>
      <c r="C13" s="451" t="str">
        <f>IFERROR(INDEX(lista[],MATCH($A13,lista[ID],0),MATCH(språk,lista[#Headers],0)),"")</f>
        <v>Total final energy use</v>
      </c>
      <c r="E13" s="579"/>
    </row>
    <row r="14" spans="1:9">
      <c r="A14" s="301">
        <v>11</v>
      </c>
      <c r="B14" s="98" t="s">
        <v>299</v>
      </c>
      <c r="C14" s="543" t="str">
        <f>IFERROR(INDEX(lista[],MATCH($A14,lista[ID],0),MATCH(språk,lista[#Headers],0)),"")</f>
        <v>Total final energy use, by energy carrier, from 1970, TWh</v>
      </c>
      <c r="E14" s="579"/>
    </row>
    <row r="15" spans="1:9">
      <c r="A15" s="301">
        <v>12</v>
      </c>
      <c r="B15" s="98" t="s">
        <v>368</v>
      </c>
      <c r="C15" s="927" t="str">
        <f>IFERROR(INDEX(lista[],MATCH($A15,lista[ID],0),MATCH(språk,lista[#Headers],0)),"")</f>
        <v>Total final energy use, by sector, from 1970, TWh</v>
      </c>
      <c r="E15" s="579"/>
    </row>
    <row r="16" spans="1:9">
      <c r="B16" s="98"/>
      <c r="C16" s="929" t="str">
        <f>IFERROR(INDEX(lista[],MATCH($A16,lista[ID],0),MATCH(språk,lista[#Headers],0)),"")</f>
        <v/>
      </c>
      <c r="E16" s="579"/>
    </row>
    <row r="17" spans="1:5">
      <c r="A17" s="301">
        <v>13</v>
      </c>
      <c r="B17" s="98"/>
      <c r="C17" s="451" t="str">
        <f>IFERROR(INDEX(lista[],MATCH($A17,lista[ID],0),MATCH(språk,lista[#Headers],0)),"")</f>
        <v>Residential and services</v>
      </c>
      <c r="E17" s="579"/>
    </row>
    <row r="18" spans="1:5">
      <c r="A18" s="301">
        <v>14</v>
      </c>
      <c r="B18" s="98" t="s">
        <v>300</v>
      </c>
      <c r="C18" s="927" t="str">
        <f>IFERROR(INDEX(lista[],MATCH($A18,lista[ID],0),MATCH(språk,lista[#Headers],0)),"")</f>
        <v>Final energy use in the residential and services sector by energy carrier, from 1970, TWh</v>
      </c>
      <c r="E18" s="579"/>
    </row>
    <row r="19" spans="1:5">
      <c r="A19" s="301">
        <v>15</v>
      </c>
      <c r="B19" s="98" t="s">
        <v>301</v>
      </c>
      <c r="C19" s="927" t="str">
        <f>IFERROR(INDEX(lista[],MATCH($A19,lista[ID],0),MATCH(språk,lista[#Headers],0)),"")</f>
        <v>Final energy use in the residential and services sector by subsector, from 1983, TWh</v>
      </c>
      <c r="E19" s="579"/>
    </row>
    <row r="20" spans="1:5">
      <c r="A20" s="301">
        <v>16</v>
      </c>
      <c r="B20" s="98" t="s">
        <v>302</v>
      </c>
      <c r="C20" s="927" t="str">
        <f>IFERROR(INDEX(lista[],MATCH($A20,lista[ID],0),MATCH(språk,lista[#Headers],0)),"")</f>
        <v>Electricity use in the residential and services sector, from 1970, TWh</v>
      </c>
      <c r="E20" s="579"/>
    </row>
    <row r="21" spans="1:5">
      <c r="A21" s="301">
        <v>17</v>
      </c>
      <c r="B21" s="98" t="s">
        <v>303</v>
      </c>
      <c r="C21" s="927" t="str">
        <f>IFERROR(INDEX(lista[],MATCH($A21,lista[ID],0),MATCH(språk,lista[#Headers],0)),"")</f>
        <v>Energy use for heating and hot water in dwellings and non-residential premises, from 1983, TWh</v>
      </c>
      <c r="E21" s="579"/>
    </row>
    <row r="22" spans="1:5">
      <c r="A22" s="301">
        <v>18</v>
      </c>
      <c r="B22" s="98" t="s">
        <v>304</v>
      </c>
      <c r="C22" s="927" t="str">
        <f>IFERROR(INDEX(lista[],MATCH($A22,lista[ID],0),MATCH(språk,lista[#Headers],0)),"")</f>
        <v>Heated area in dwellings and non-residential premises, from 1983, million m2</v>
      </c>
      <c r="E22" s="579"/>
    </row>
    <row r="23" spans="1:5">
      <c r="A23" s="301">
        <v>19</v>
      </c>
      <c r="B23" s="98" t="s">
        <v>305</v>
      </c>
      <c r="C23" s="927" t="str">
        <f>IFERROR(INDEX(lista[],MATCH($A23,lista[ID],0),MATCH(språk,lista[#Headers],0)),"")</f>
        <v>Energy prices for the residential and services sector, from 1970, real (2016) prices, öre/kWh</v>
      </c>
      <c r="E23" s="579"/>
    </row>
    <row r="24" spans="1:5">
      <c r="B24" s="98"/>
      <c r="C24" s="929" t="str">
        <f>IFERROR(INDEX(lista[],MATCH($A24,lista[ID],0),MATCH(språk,lista[#Headers],0)),"")</f>
        <v/>
      </c>
      <c r="E24" s="579"/>
    </row>
    <row r="25" spans="1:5">
      <c r="A25" s="301">
        <v>20</v>
      </c>
      <c r="B25" s="98"/>
      <c r="C25" s="451" t="str">
        <f>IFERROR(INDEX(lista[],MATCH($A25,lista[ID],0),MATCH(språk,lista[#Headers],0)),"")</f>
        <v>Industrial sector</v>
      </c>
      <c r="E25" s="579"/>
    </row>
    <row r="26" spans="1:5">
      <c r="A26" s="301">
        <v>21</v>
      </c>
      <c r="B26" s="98" t="s">
        <v>306</v>
      </c>
      <c r="C26" s="927" t="str">
        <f>IFERROR(INDEX(lista[],MATCH($A26,lista[ID],0),MATCH(språk,lista[#Headers],0)),"")</f>
        <v>Final energy use in industry, by energy carrier, from 1970, TWh</v>
      </c>
      <c r="E26" s="579"/>
    </row>
    <row r="27" spans="1:5">
      <c r="A27" s="301">
        <v>22</v>
      </c>
      <c r="B27" s="98" t="s">
        <v>307</v>
      </c>
      <c r="C27" s="927" t="str">
        <f>IFERROR(INDEX(lista[],MATCH($A27,lista[ID],0),MATCH(språk,lista[#Headers],0)),"")</f>
        <v>Final energy use in the industrial sector, by industry, from 1990, TWh</v>
      </c>
      <c r="E27" s="579"/>
    </row>
    <row r="28" spans="1:5">
      <c r="A28" s="301">
        <v>23</v>
      </c>
      <c r="B28" s="98" t="s">
        <v>308</v>
      </c>
      <c r="C28" s="927" t="str">
        <f>IFERROR(INDEX(lista[],MATCH($A28,lista[ID],0),MATCH(språk,lista[#Headers],0)),"")</f>
        <v>Electricity use in the industrial sector, by industry, from 1990, TWh</v>
      </c>
      <c r="E28" s="579"/>
    </row>
    <row r="29" spans="1:5">
      <c r="A29" s="301">
        <v>24</v>
      </c>
      <c r="B29" s="98" t="s">
        <v>309</v>
      </c>
      <c r="C29" s="927" t="str">
        <f>IFERROR(INDEX(lista[],MATCH($A29,lista[ID],0),MATCH(språk,lista[#Headers],0)),"")</f>
        <v>Use of fossil fuels (natural gas, petroleum products, coal and coke) in the industrial sector, by industry, from 1990, TWh</v>
      </c>
      <c r="E29" s="579"/>
    </row>
    <row r="30" spans="1:5">
      <c r="A30" s="301">
        <v>25</v>
      </c>
      <c r="B30" s="98" t="s">
        <v>310</v>
      </c>
      <c r="C30" s="927" t="str">
        <f>IFERROR(INDEX(lista[],MATCH($A30,lista[ID],0),MATCH(språk,lista[#Headers],0)),"")</f>
        <v>Use of biomass in the industrial sector, by industry, from 1990, TWh</v>
      </c>
      <c r="E30" s="579"/>
    </row>
    <row r="31" spans="1:5">
      <c r="A31" s="301">
        <v>26</v>
      </c>
      <c r="B31" s="98" t="s">
        <v>311</v>
      </c>
      <c r="C31" s="927" t="str">
        <f>IFERROR(INDEX(lista[],MATCH($A31,lista[ID],0),MATCH(språk,lista[#Headers],0)),"")</f>
        <v>Energy use in the industrial sector, from 1981, kWh per real (2015) SEK value added</v>
      </c>
      <c r="E31" s="579"/>
    </row>
    <row r="32" spans="1:5">
      <c r="A32" s="301">
        <v>27</v>
      </c>
      <c r="B32" s="98" t="s">
        <v>312</v>
      </c>
      <c r="C32" s="927" t="str">
        <f>IFERROR(INDEX(lista[],MATCH($A32,lista[ID],0),MATCH(språk,lista[#Headers],0)),"")</f>
        <v>Energy prices for industrial customers, from 1986, real (2015) prices, öre/kWh</v>
      </c>
      <c r="E32" s="579"/>
    </row>
    <row r="33" spans="1:5">
      <c r="B33" s="98"/>
      <c r="C33" s="929" t="str">
        <f>IFERROR(INDEX(lista[],MATCH($A33,lista[ID],0),MATCH(språk,lista[#Headers],0)),"")</f>
        <v/>
      </c>
      <c r="D33" s="579"/>
      <c r="E33" s="579"/>
    </row>
    <row r="34" spans="1:5">
      <c r="A34" s="301">
        <v>28</v>
      </c>
      <c r="B34" s="98"/>
      <c r="C34" s="451" t="str">
        <f>IFERROR(INDEX(lista[],MATCH($A34,lista[ID],0),MATCH(språk,lista[#Headers],0)),"")</f>
        <v>Transport sector</v>
      </c>
      <c r="D34" s="579"/>
      <c r="E34" s="579"/>
    </row>
    <row r="35" spans="1:5">
      <c r="A35" s="301">
        <v>29</v>
      </c>
      <c r="B35" s="98" t="s">
        <v>313</v>
      </c>
      <c r="C35" s="927" t="str">
        <f>IFERROR(INDEX(lista[],MATCH($A35,lista[ID],0),MATCH(språk,lista[#Headers],0)),"")</f>
        <v>Final energy use in the transport sector (domestic), from 1970, TWh</v>
      </c>
      <c r="E35" s="579"/>
    </row>
    <row r="36" spans="1:5">
      <c r="A36" s="301">
        <v>30</v>
      </c>
      <c r="B36" s="98" t="s">
        <v>314</v>
      </c>
      <c r="C36" s="927" t="str">
        <f>IFERROR(INDEX(lista[],MATCH($A36,lista[ID],0),MATCH(språk,lista[#Headers],0)),"")</f>
        <v>Biofuels in the transport sector (domestic), by fuel, from 1995, TWh</v>
      </c>
      <c r="E36" s="579"/>
    </row>
    <row r="37" spans="1:5">
      <c r="A37" s="301">
        <v>31</v>
      </c>
      <c r="B37" s="98" t="s">
        <v>315</v>
      </c>
      <c r="C37" s="927" t="str">
        <f>IFERROR(INDEX(lista[],MATCH($A37,lista[ID],0),MATCH(språk,lista[#Headers],0)),"")</f>
        <v>Final energy use in the transport sector (domestic), by type of transport, from 1970, TWh</v>
      </c>
      <c r="E37" s="579"/>
    </row>
    <row r="38" spans="1:5">
      <c r="A38" s="301">
        <v>32</v>
      </c>
      <c r="B38" s="98" t="s">
        <v>316</v>
      </c>
      <c r="C38" s="927" t="str">
        <f>IFERROR(INDEX(lista[],MATCH($A38,lista[ID],0),MATCH(språk,lista[#Headers],0)),"")</f>
        <v>Use of energy for international transport, from 1970, TWh</v>
      </c>
      <c r="E38" s="579"/>
    </row>
    <row r="39" spans="1:5">
      <c r="A39" s="301">
        <v>33</v>
      </c>
      <c r="B39" s="98" t="s">
        <v>317</v>
      </c>
      <c r="C39" s="927" t="str">
        <f>IFERROR(INDEX(lista[],MATCH($A39,lista[ID],0),MATCH(språk,lista[#Headers],0)),"")</f>
        <v>Road transport fuel prices, from 1980, real (2016) prices, SEK/litre</v>
      </c>
      <c r="E39" s="579"/>
    </row>
    <row r="40" spans="1:5">
      <c r="B40" s="98"/>
      <c r="C40" s="929" t="str">
        <f>IFERROR(INDEX(lista[],MATCH($A40,lista[ID],0),MATCH(språk,lista[#Headers],0)),"")</f>
        <v/>
      </c>
      <c r="E40" s="579"/>
    </row>
    <row r="41" spans="1:5">
      <c r="A41" s="301">
        <v>34</v>
      </c>
      <c r="B41" s="98"/>
      <c r="C41" s="451" t="str">
        <f>IFERROR(INDEX(lista[],MATCH($A41,lista[ID],0),MATCH(språk,lista[#Headers],0)),"")</f>
        <v>Electricity market</v>
      </c>
      <c r="E41" s="579"/>
    </row>
    <row r="42" spans="1:5" s="579" customFormat="1">
      <c r="A42" s="579">
        <v>35</v>
      </c>
      <c r="B42" s="98" t="s">
        <v>319</v>
      </c>
      <c r="C42" s="543" t="str">
        <f>IFERROR(INDEX(lista[],MATCH($A42,lista[ID],0),MATCH(språk,lista[#Headers],0)),"")</f>
        <v>Electricity use, by sector, from 1970, TWh</v>
      </c>
      <c r="D42" s="301"/>
    </row>
    <row r="43" spans="1:5" s="579" customFormat="1">
      <c r="A43" s="579">
        <v>36</v>
      </c>
      <c r="B43" s="98" t="s">
        <v>320</v>
      </c>
      <c r="C43" s="543" t="str">
        <f>IFERROR(INDEX(lista[],MATCH($A43,lista[ID],0),MATCH(språk,lista[#Headers],0)),"")</f>
        <v>Net electricity production, from 1970, TWh</v>
      </c>
      <c r="D43" s="301"/>
    </row>
    <row r="44" spans="1:5">
      <c r="A44" s="301">
        <v>37</v>
      </c>
      <c r="B44" s="98" t="s">
        <v>321</v>
      </c>
      <c r="C44" s="927" t="str">
        <f>IFERROR(INDEX(lista[],MATCH($A44,lista[ID],0),MATCH(språk,lista[#Headers],0)),"")</f>
        <v>Fuel used for electricity production, excluding nuclear fuel, from 1983, GWh</v>
      </c>
      <c r="E44" s="579"/>
    </row>
    <row r="45" spans="1:5">
      <c r="A45" s="301">
        <v>38</v>
      </c>
      <c r="B45" s="98" t="s">
        <v>322</v>
      </c>
      <c r="C45" s="927" t="str">
        <f>IFERROR(INDEX(lista[],MATCH($A45,lista[ID],0),MATCH(språk,lista[#Headers],0)),"")</f>
        <v>Windpower, number of turbines, capacity (MW) and production (GWh), from 1982</v>
      </c>
      <c r="E45" s="579"/>
    </row>
    <row r="46" spans="1:5">
      <c r="A46" s="301">
        <v>39</v>
      </c>
      <c r="B46" s="98" t="s">
        <v>323</v>
      </c>
      <c r="C46" s="927" t="str">
        <f>IFERROR(INDEX(lista[],MATCH($A46,lista[ID],0),MATCH(språk,lista[#Headers],0)),"")</f>
        <v>Electricity production by type of power in the electricity certificate system, from 2003, GWh</v>
      </c>
      <c r="E46" s="579"/>
    </row>
    <row r="47" spans="1:5">
      <c r="A47" s="301">
        <v>40</v>
      </c>
      <c r="B47" s="98" t="s">
        <v>324</v>
      </c>
      <c r="C47" s="927" t="str">
        <f>IFERROR(INDEX(lista[],MATCH($A47,lista[ID],0),MATCH(språk,lista[#Headers],0)),"")</f>
        <v>Electricity production capacity, from 1996, MW</v>
      </c>
      <c r="E47" s="579"/>
    </row>
    <row r="48" spans="1:5">
      <c r="A48" s="301">
        <v>41</v>
      </c>
      <c r="B48" s="98" t="s">
        <v>325</v>
      </c>
      <c r="C48" s="927" t="str">
        <f>IFERROR(INDEX(lista[],MATCH($A48,lista[ID],0),MATCH(språk,lista[#Headers],0)),"")</f>
        <v>Electricity trade with other countries, from 2010, GWh/week</v>
      </c>
      <c r="E48" s="579"/>
    </row>
    <row r="49" spans="1:5">
      <c r="A49" s="301">
        <v>42</v>
      </c>
      <c r="B49" s="98" t="s">
        <v>326</v>
      </c>
      <c r="C49" s="927" t="str">
        <f>IFERROR(INDEX(lista[],MATCH($A49,lista[ID],0),MATCH(språk,lista[#Headers],0)),"")</f>
        <v>Electricity spot prices, yearly and monthly averages, from January 1996, nominal price, öre/kWh</v>
      </c>
      <c r="E49" s="579"/>
    </row>
    <row r="50" spans="1:5">
      <c r="A50" s="301">
        <v>43</v>
      </c>
      <c r="B50" s="98" t="s">
        <v>327</v>
      </c>
      <c r="C50" s="927" t="str">
        <f>IFERROR(INDEX(lista[],MATCH($A50,lista[ID],0),MATCH(språk,lista[#Headers],0)),"")</f>
        <v>Electricity spot prices, monthly average, by bidding area, from November 2011, nominal price, öre/kWh</v>
      </c>
      <c r="E50" s="579"/>
    </row>
    <row r="51" spans="1:5" s="700" customFormat="1">
      <c r="A51" s="700">
        <v>44</v>
      </c>
      <c r="B51" s="107" t="s">
        <v>401</v>
      </c>
      <c r="C51" s="930" t="str">
        <f>IFERROR(INDEX(lista[],MATCH($A51,lista[ID],0),MATCH(språk,lista[#Headers],0)),"")</f>
        <v xml:space="preserve">Electricity network price 1 January for different customers, taxes not included, from 1996, nominal prices, öre/kWh </v>
      </c>
      <c r="D51" s="301"/>
    </row>
    <row r="52" spans="1:5" s="700" customFormat="1">
      <c r="A52" s="700">
        <v>45</v>
      </c>
      <c r="B52" s="107" t="s">
        <v>402</v>
      </c>
      <c r="C52" s="931" t="str">
        <f>IFERROR(INDEX(lista[],MATCH($A52,lista[ID],0),MATCH(språk,lista[#Headers],0)),"")</f>
        <v>Electricity price for households, taxes and network price not included, from april 2004, nominal prices, öre/kWh</v>
      </c>
      <c r="D52" s="301"/>
    </row>
    <row r="53" spans="1:5" s="700" customFormat="1">
      <c r="A53" s="700">
        <v>46</v>
      </c>
      <c r="B53" s="107" t="s">
        <v>403</v>
      </c>
      <c r="C53" s="931" t="str">
        <f>IFERROR(INDEX(lista[],MATCH($A53,lista[ID],0),MATCH(språk,lista[#Headers],0)),"")</f>
        <v>Electricity price for business, taxes and network price not included, from april 2004, nominal prices, öre/kWh</v>
      </c>
      <c r="D53" s="301"/>
    </row>
    <row r="54" spans="1:5" s="700" customFormat="1">
      <c r="A54" s="700">
        <v>47</v>
      </c>
      <c r="B54" s="98" t="s">
        <v>404</v>
      </c>
      <c r="C54" s="931" t="str">
        <f>IFERROR(INDEX(lista[],MATCH($A54,lista[ID],0),MATCH(språk,lista[#Headers],0)),"")</f>
        <v>Distribution of different types of contracts for household customers, from april 2004, percent</v>
      </c>
      <c r="D54" s="301"/>
    </row>
    <row r="55" spans="1:5" s="700" customFormat="1">
      <c r="A55" s="700">
        <v>48</v>
      </c>
      <c r="B55" s="98" t="s">
        <v>433</v>
      </c>
      <c r="C55" s="931" t="str">
        <f>IFERROR(INDEX(lista[],MATCH($A55,lista[ID],0),MATCH(språk,lista[#Headers],0)),"")</f>
        <v xml:space="preserve">Energy tax electricity, from 1993, nominal prices, öre/kWh </v>
      </c>
      <c r="D55" s="301"/>
    </row>
    <row r="56" spans="1:5">
      <c r="B56" s="98"/>
      <c r="C56" s="929" t="str">
        <f>IFERROR(INDEX(lista[],MATCH($A56,lista[ID],0),MATCH(språk,lista[#Headers],0)),"")</f>
        <v/>
      </c>
      <c r="E56" s="579"/>
    </row>
    <row r="57" spans="1:5">
      <c r="A57" s="700">
        <v>49</v>
      </c>
      <c r="B57" s="98"/>
      <c r="C57" s="451" t="str">
        <f>IFERROR(INDEX(lista[],MATCH($A57,lista[ID],0),MATCH(språk,lista[#Headers],0)),"")</f>
        <v>District heating market</v>
      </c>
    </row>
    <row r="58" spans="1:5">
      <c r="A58" s="700">
        <v>50</v>
      </c>
      <c r="B58" s="98" t="s">
        <v>328</v>
      </c>
      <c r="C58" s="927" t="str">
        <f>IFERROR(INDEX(lista[],MATCH($A58,lista[ID],0),MATCH(språk,lista[#Headers],0)),"")</f>
        <v>District heating consumption, from 1970, TWh</v>
      </c>
      <c r="E58" s="579"/>
    </row>
    <row r="59" spans="1:5">
      <c r="A59" s="700">
        <v>51</v>
      </c>
      <c r="B59" s="98" t="s">
        <v>329</v>
      </c>
      <c r="C59" s="927" t="str">
        <f>IFERROR(INDEX(lista[],MATCH($A59,lista[ID],0),MATCH(språk,lista[#Headers],0)),"")</f>
        <v>Input energy used in the production of district heating, from 1970, TWh</v>
      </c>
      <c r="E59" s="579"/>
    </row>
    <row r="60" spans="1:5">
      <c r="A60" s="700">
        <v>52</v>
      </c>
      <c r="B60" s="98" t="s">
        <v>330</v>
      </c>
      <c r="C60" s="927" t="str">
        <f>IFERROR(INDEX(lista[],MATCH($A60,lista[ID],0),MATCH(språk,lista[#Headers],0)),"")</f>
        <v>District cooling, supply (GWh), number of customers and grid length (km), from 1992</v>
      </c>
      <c r="E60" s="579"/>
    </row>
    <row r="61" spans="1:5">
      <c r="B61" s="98"/>
      <c r="C61" s="929" t="str">
        <f>IFERROR(INDEX(lista[],MATCH($A61,lista[ID],0),MATCH(språk,lista[#Headers],0)),"")</f>
        <v/>
      </c>
      <c r="E61" s="579"/>
    </row>
    <row r="62" spans="1:5">
      <c r="A62" s="700">
        <v>53</v>
      </c>
      <c r="B62" s="98"/>
      <c r="C62" s="451" t="str">
        <f>IFERROR(INDEX(lista[],MATCH($A62,lista[ID],0),MATCH(språk,lista[#Headers],0)),"")</f>
        <v>Biomass</v>
      </c>
      <c r="E62" s="579"/>
    </row>
    <row r="63" spans="1:5">
      <c r="A63" s="700">
        <v>54</v>
      </c>
      <c r="B63" s="98" t="s">
        <v>331</v>
      </c>
      <c r="C63" s="927" t="str">
        <f>IFERROR(INDEX(lista[],MATCH($A63,lista[ID],0),MATCH(språk,lista[#Headers],0)),"")</f>
        <v>Use of biomass, per sector, from 1983, TWh</v>
      </c>
      <c r="E63" s="579"/>
    </row>
    <row r="64" spans="1:5">
      <c r="A64" s="700">
        <v>55</v>
      </c>
      <c r="B64" s="98" t="s">
        <v>332</v>
      </c>
      <c r="C64" s="927" t="str">
        <f>IFERROR(INDEX(lista[],MATCH($A64,lista[ID],0),MATCH(språk,lista[#Headers],0)),"")</f>
        <v>Use of biomass, by fuel category, from 2005, GWh</v>
      </c>
      <c r="E64" s="579"/>
    </row>
    <row r="65" spans="1:5">
      <c r="A65" s="700">
        <v>56</v>
      </c>
      <c r="B65" s="98" t="s">
        <v>333</v>
      </c>
      <c r="C65" s="927" t="str">
        <f>IFERROR(INDEX(lista[],MATCH($A65,lista[ID],0),MATCH(språk,lista[#Headers],0)),"")</f>
        <v>Use of undensified and densified wood fuels in the residential and services sector, from 1997, TWh</v>
      </c>
      <c r="E65" s="579"/>
    </row>
    <row r="66" spans="1:5">
      <c r="A66" s="700">
        <v>57</v>
      </c>
      <c r="B66" s="98" t="s">
        <v>334</v>
      </c>
      <c r="C66" s="927" t="str">
        <f>IFERROR(INDEX(lista[],MATCH($A66,lista[ID],0),MATCH(språk,lista[#Headers],0)),"")</f>
        <v>FAME used in Sweden, by country of origin, from 2011, sustainable volume (m3)</v>
      </c>
      <c r="E66" s="579"/>
    </row>
    <row r="67" spans="1:5">
      <c r="A67" s="700">
        <v>58</v>
      </c>
      <c r="B67" s="98" t="s">
        <v>335</v>
      </c>
      <c r="C67" s="927" t="str">
        <f>IFERROR(INDEX(lista[],MATCH($A67,lista[ID],0),MATCH(språk,lista[#Headers],0)),"")</f>
        <v>Raw materials for HVO used in Sweden, from 2011, sustainable volume (m3)</v>
      </c>
      <c r="E67" s="579"/>
    </row>
    <row r="68" spans="1:5">
      <c r="A68" s="700">
        <v>59</v>
      </c>
      <c r="B68" s="98" t="s">
        <v>336</v>
      </c>
      <c r="C68" s="927" t="str">
        <f>IFERROR(INDEX(lista[],MATCH($A68,lista[ID],0),MATCH(språk,lista[#Headers],0)),"")</f>
        <v>HVO used in Sweden, by country of origin, from 2011, sustainable volume (m3)</v>
      </c>
      <c r="E68" s="579"/>
    </row>
    <row r="69" spans="1:5">
      <c r="A69" s="700">
        <v>60</v>
      </c>
      <c r="B69" s="98" t="s">
        <v>337</v>
      </c>
      <c r="C69" s="927" t="str">
        <f>IFERROR(INDEX(lista[],MATCH($A69,lista[ID],0),MATCH(språk,lista[#Headers],0)),"")</f>
        <v>Raw materials for ethanol used in Sweden, from 2011, sustainable volume (m3)</v>
      </c>
      <c r="E69" s="579"/>
    </row>
    <row r="70" spans="1:5">
      <c r="A70" s="700">
        <v>61</v>
      </c>
      <c r="B70" s="98" t="s">
        <v>338</v>
      </c>
      <c r="C70" s="927" t="str">
        <f>IFERROR(INDEX(lista[],MATCH($A70,lista[ID],0),MATCH(språk,lista[#Headers],0)),"")</f>
        <v>Ethanol used in Sweden, by country of origin, from 2011, sustainable volume (m3)</v>
      </c>
      <c r="E70" s="579"/>
    </row>
    <row r="71" spans="1:5" s="579" customFormat="1">
      <c r="A71" s="579">
        <v>62</v>
      </c>
      <c r="B71" s="98" t="s">
        <v>339</v>
      </c>
      <c r="C71" s="543" t="str">
        <f>IFERROR(INDEX(lista[],MATCH($A71,lista[ID],0),MATCH(språk,lista[#Headers],0)),"")</f>
        <v>Production of biogas, by category of facility, from 2005, GWh</v>
      </c>
      <c r="D71" s="301"/>
    </row>
    <row r="72" spans="1:5">
      <c r="A72" s="700">
        <v>63</v>
      </c>
      <c r="B72" s="98" t="s">
        <v>340</v>
      </c>
      <c r="C72" s="927" t="str">
        <f>IFERROR(INDEX(lista[],MATCH($A72,lista[ID],0),MATCH(språk,lista[#Headers],0)),"")</f>
        <v>Supply of pellets to the Swedish market, from 1997, TWh</v>
      </c>
      <c r="E72" s="579"/>
    </row>
    <row r="73" spans="1:5">
      <c r="A73" s="700">
        <v>64</v>
      </c>
      <c r="B73" s="98" t="s">
        <v>341</v>
      </c>
      <c r="C73" s="927" t="str">
        <f>IFERROR(INDEX(lista[],MATCH($A73,lista[ID],0),MATCH(språk,lista[#Headers],0)),"")</f>
        <v>Wood fuel and peat prices for heating plants, from 1993, nominal prices, SEK/MWh</v>
      </c>
      <c r="E73" s="579"/>
    </row>
    <row r="74" spans="1:5">
      <c r="A74" s="700"/>
      <c r="B74" s="98"/>
      <c r="C74" s="929" t="str">
        <f>IFERROR(INDEX(lista[],MATCH($A74,lista[ID],0),MATCH(språk,lista[#Headers],0)),"")</f>
        <v/>
      </c>
      <c r="E74" s="579"/>
    </row>
    <row r="75" spans="1:5">
      <c r="A75" s="700">
        <v>65</v>
      </c>
      <c r="B75" s="98"/>
      <c r="C75" s="451" t="str">
        <f>IFERROR(INDEX(lista[],MATCH($A75,lista[ID],0),MATCH(språk,lista[#Headers],0)),"")</f>
        <v>Crude oil and petroleum products</v>
      </c>
      <c r="E75" s="579"/>
    </row>
    <row r="76" spans="1:5">
      <c r="A76" s="700">
        <v>66</v>
      </c>
      <c r="B76" s="98" t="s">
        <v>351</v>
      </c>
      <c r="C76" s="927" t="str">
        <f>IFERROR(INDEX(lista[],MATCH($A76,lista[ID],0),MATCH(språk,lista[#Headers],0)),"")</f>
        <v xml:space="preserve">Final use of petroleum products, by sector, from 1983, TWh </v>
      </c>
      <c r="E76" s="579"/>
    </row>
    <row r="77" spans="1:5">
      <c r="A77" s="700">
        <v>67</v>
      </c>
      <c r="B77" s="98" t="s">
        <v>360</v>
      </c>
      <c r="C77" s="927" t="str">
        <f>IFERROR(INDEX(lista[],MATCH($A77,lista[ID],0),MATCH(språk,lista[#Headers],0)),"")</f>
        <v xml:space="preserve">Final use of petroleum products, by product, from 1983, TWh </v>
      </c>
      <c r="E77" s="579"/>
    </row>
    <row r="78" spans="1:5">
      <c r="A78" s="700">
        <v>68</v>
      </c>
      <c r="B78" s="98" t="s">
        <v>361</v>
      </c>
      <c r="C78" s="927" t="str">
        <f>IFERROR(INDEX(lista[],MATCH($A78,lista[ID],0),MATCH(språk,lista[#Headers],0)),"")</f>
        <v>Swedish import of crude oil, by country of origin, from 1972, million tonnes</v>
      </c>
      <c r="E78" s="579"/>
    </row>
    <row r="79" spans="1:5">
      <c r="A79" s="700">
        <v>69</v>
      </c>
      <c r="B79" s="98" t="s">
        <v>362</v>
      </c>
      <c r="C79" s="927" t="str">
        <f>IFERROR(INDEX(lista[],MATCH($A79,lista[ID],0),MATCH(språk,lista[#Headers],0)),"")</f>
        <v xml:space="preserve">Petroleum product imports, from 1983, TWh </v>
      </c>
      <c r="E79" s="579"/>
    </row>
    <row r="80" spans="1:5">
      <c r="A80" s="700">
        <v>70</v>
      </c>
      <c r="B80" s="98" t="s">
        <v>363</v>
      </c>
      <c r="C80" s="927" t="str">
        <f>IFERROR(INDEX(lista[],MATCH($A80,lista[ID],0),MATCH(språk,lista[#Headers],0)),"")</f>
        <v xml:space="preserve">Petroleum product exports, from 1983, TWh </v>
      </c>
      <c r="E80" s="579"/>
    </row>
    <row r="81" spans="1:5">
      <c r="A81" s="700">
        <v>71</v>
      </c>
      <c r="B81" s="98" t="s">
        <v>364</v>
      </c>
      <c r="C81" s="927" t="str">
        <f>IFERROR(INDEX(lista[],MATCH($A81,lista[ID],0),MATCH(språk,lista[#Headers],0)),"")</f>
        <v>Crude oil prices, from 1976, USD/barrel</v>
      </c>
      <c r="E81" s="579"/>
    </row>
    <row r="82" spans="1:5">
      <c r="B82" s="98"/>
      <c r="C82" s="929" t="str">
        <f>IFERROR(INDEX(lista[],MATCH($A82,lista[ID],0),MATCH(språk,lista[#Headers],0)),"")</f>
        <v/>
      </c>
      <c r="E82" s="579"/>
    </row>
    <row r="83" spans="1:5">
      <c r="A83" s="700">
        <v>72</v>
      </c>
      <c r="B83" s="98"/>
      <c r="C83" s="451" t="str">
        <f>IFERROR(INDEX(lista[],MATCH($A83,lista[ID],0),MATCH(språk,lista[#Headers],0)),"")</f>
        <v>Natural gas</v>
      </c>
      <c r="E83" s="579"/>
    </row>
    <row r="84" spans="1:5">
      <c r="A84" s="700">
        <v>73</v>
      </c>
      <c r="B84" s="98" t="s">
        <v>352</v>
      </c>
      <c r="C84" s="927" t="str">
        <f>IFERROR(INDEX(lista[],MATCH($A84,lista[ID],0),MATCH(språk,lista[#Headers],0)),"")</f>
        <v>Use of natural gas and gasworks gas, by sector, from 1983, TWh</v>
      </c>
      <c r="E84" s="579"/>
    </row>
    <row r="85" spans="1:5">
      <c r="A85" s="700">
        <v>74</v>
      </c>
      <c r="B85" s="98" t="s">
        <v>353</v>
      </c>
      <c r="C85" s="927" t="str">
        <f>IFERROR(INDEX(lista[],MATCH($A85,lista[ID],0),MATCH(språk,lista[#Headers],0)),"")</f>
        <v>Average natural gas prices in Europe, the USA and Asia, from 1984, USD/MMBTU</v>
      </c>
      <c r="E85" s="579"/>
    </row>
    <row r="86" spans="1:5">
      <c r="A86" s="700"/>
      <c r="B86" s="98"/>
      <c r="C86" s="929" t="str">
        <f>IFERROR(INDEX(lista[],MATCH($A86,lista[ID],0),MATCH(språk,lista[#Headers],0)),"")</f>
        <v/>
      </c>
      <c r="E86" s="579"/>
    </row>
    <row r="87" spans="1:5">
      <c r="A87" s="700">
        <v>75</v>
      </c>
      <c r="B87" s="98"/>
      <c r="C87" s="451" t="str">
        <f>IFERROR(INDEX(lista[],MATCH($A87,lista[ID],0),MATCH(språk,lista[#Headers],0)),"")</f>
        <v>Coal</v>
      </c>
      <c r="E87" s="579"/>
    </row>
    <row r="88" spans="1:5">
      <c r="A88" s="700">
        <v>76</v>
      </c>
      <c r="B88" s="98" t="s">
        <v>356</v>
      </c>
      <c r="C88" s="927" t="str">
        <f>IFERROR(INDEX(lista[],MATCH($A88,lista[ID],0),MATCH(språk,lista[#Headers],0)),"")</f>
        <v>Use of coal by sector, from 1983, TWh</v>
      </c>
      <c r="E88" s="579"/>
    </row>
    <row r="89" spans="1:5">
      <c r="A89" s="700">
        <v>77</v>
      </c>
      <c r="B89" s="98" t="s">
        <v>357</v>
      </c>
      <c r="C89" s="927" t="str">
        <f>IFERROR(INDEX(lista[],MATCH($A89,lista[ID],0),MATCH(språk,lista[#Headers],0)),"")</f>
        <v>Coal prices in Europe, the USA and Asia, from 1998, USD/tonne</v>
      </c>
      <c r="E89" s="579"/>
    </row>
    <row r="90" spans="1:5">
      <c r="A90" s="700"/>
      <c r="B90" s="98"/>
      <c r="C90" s="929" t="str">
        <f>IFERROR(INDEX(lista[],MATCH($A90,lista[ID],0),MATCH(språk,lista[#Headers],0)),"")</f>
        <v/>
      </c>
      <c r="E90" s="579"/>
    </row>
    <row r="91" spans="1:5">
      <c r="A91" s="700">
        <v>78</v>
      </c>
      <c r="B91" s="98"/>
      <c r="C91" s="451" t="str">
        <f>IFERROR(INDEX(lista[],MATCH($A91,lista[ID],0),MATCH(språk,lista[#Headers],0)),"")</f>
        <v>An international perspective</v>
      </c>
      <c r="E91" s="579"/>
    </row>
    <row r="92" spans="1:5">
      <c r="A92" s="700">
        <v>79</v>
      </c>
      <c r="B92" s="98" t="s">
        <v>344</v>
      </c>
      <c r="C92" s="927" t="str">
        <f>IFERROR(INDEX(lista[],MATCH($A92,lista[ID],0),MATCH(språk,lista[#Headers],0)),"")</f>
        <v>World total primary energy supply, by source, from 1990, TWh</v>
      </c>
      <c r="E92" s="579"/>
    </row>
    <row r="93" spans="1:5">
      <c r="A93" s="700">
        <v>80</v>
      </c>
      <c r="B93" s="98" t="s">
        <v>345</v>
      </c>
      <c r="C93" s="927" t="str">
        <f>IFERROR(INDEX(lista[],MATCH($A93,lista[ID],0),MATCH(språk,lista[#Headers],0)),"")</f>
        <v>World final energy consumption, by sector, from 1990, TWh</v>
      </c>
      <c r="E93" s="579"/>
    </row>
    <row r="94" spans="1:5">
      <c r="A94" s="700">
        <v>81</v>
      </c>
      <c r="B94" s="98" t="s">
        <v>346</v>
      </c>
      <c r="C94" s="927" t="str">
        <f>IFERROR(INDEX(lista[],MATCH($A94,lista[ID],0),MATCH(språk,lista[#Headers],0)),"")</f>
        <v>World supply of renewable energy, by region, from 1990, TWh</v>
      </c>
      <c r="E94" s="579"/>
    </row>
    <row r="95" spans="1:5">
      <c r="A95" s="700">
        <v>82</v>
      </c>
      <c r="B95" s="98" t="s">
        <v>347</v>
      </c>
      <c r="C95" s="927" t="str">
        <f>IFERROR(INDEX(lista[],MATCH($A95,lista[ID],0),MATCH(språk,lista[#Headers],0)),"")</f>
        <v>World electricity generation, by energy source, from 1990, TWh</v>
      </c>
      <c r="E95" s="579"/>
    </row>
    <row r="96" spans="1:5">
      <c r="A96" s="700">
        <v>83</v>
      </c>
      <c r="B96" s="98" t="s">
        <v>348</v>
      </c>
      <c r="C96" s="927" t="str">
        <f>IFERROR(INDEX(lista[],MATCH($A96,lista[ID],0),MATCH(språk,lista[#Headers],0)),"")</f>
        <v>World production of oil, natural gas and coal 2014, by region, TWh and percent of total</v>
      </c>
      <c r="E96" s="579"/>
    </row>
    <row r="97" spans="1:5">
      <c r="A97" s="700">
        <v>84</v>
      </c>
      <c r="B97" s="98" t="s">
        <v>349</v>
      </c>
      <c r="C97" s="927" t="str">
        <f>IFERROR(INDEX(lista[],MATCH($A97,lista[ID],0),MATCH(språk,lista[#Headers],0)),"")</f>
        <v>World consumption of oil, natural gas and coal 2014, by region, TWh and percent of total</v>
      </c>
      <c r="E97" s="579"/>
    </row>
    <row r="98" spans="1:5">
      <c r="A98" s="700">
        <v>85</v>
      </c>
      <c r="B98" s="98" t="s">
        <v>350</v>
      </c>
      <c r="C98" s="927" t="str">
        <f>IFERROR(INDEX(lista[],MATCH($A98,lista[ID],0),MATCH(språk,lista[#Headers],0)),"")</f>
        <v>World energy consumption per capita, by region, kWh</v>
      </c>
      <c r="E98" s="579"/>
    </row>
    <row r="99" spans="1:5">
      <c r="A99" s="700"/>
      <c r="B99" s="98"/>
      <c r="C99" s="929" t="str">
        <f>IFERROR(INDEX(lista[],MATCH($A99,lista[ID],0),MATCH(språk,lista[#Headers],0)),"")</f>
        <v/>
      </c>
      <c r="E99" s="579"/>
    </row>
    <row r="100" spans="1:5">
      <c r="A100" s="700">
        <v>86</v>
      </c>
      <c r="B100" s="98"/>
      <c r="C100" s="451" t="str">
        <f>IFERROR(INDEX(lista[],MATCH($A100,lista[ID],0),MATCH(språk,lista[#Headers],0)),"")</f>
        <v>Other</v>
      </c>
      <c r="E100" s="579"/>
    </row>
    <row r="101" spans="1:5">
      <c r="A101" s="700">
        <v>87</v>
      </c>
      <c r="B101" s="98" t="s">
        <v>342</v>
      </c>
      <c r="C101" s="927" t="str">
        <f>IFERROR(INDEX(lista[],MATCH($A101,lista[ID],0),MATCH(språk,lista[#Headers],0)),"")</f>
        <v>Share of renewables in energy use in Sweden, from 1990, percent</v>
      </c>
      <c r="E101" s="579"/>
    </row>
    <row r="102" spans="1:5">
      <c r="A102" s="700">
        <v>88</v>
      </c>
      <c r="B102" s="98" t="s">
        <v>343</v>
      </c>
      <c r="C102" s="927" t="str">
        <f>IFERROR(INDEX(lista[],MATCH($A102,lista[ID],0),MATCH(språk,lista[#Headers],0)),"")</f>
        <v>General energy and environmental taxes, from 1 January 2017</v>
      </c>
      <c r="E102" s="579"/>
    </row>
    <row r="103" spans="1:5">
      <c r="B103" s="98"/>
      <c r="C103" s="929"/>
      <c r="E103" s="579"/>
    </row>
    <row r="104" spans="1:5">
      <c r="D104" s="579"/>
      <c r="E104" s="579"/>
    </row>
    <row r="105" spans="1:5">
      <c r="D105" s="579"/>
      <c r="E105" s="579"/>
    </row>
    <row r="106" spans="1:5">
      <c r="D106" s="579"/>
      <c r="E106" s="579"/>
    </row>
    <row r="107" spans="1:5">
      <c r="D107" s="579"/>
      <c r="E107" s="579"/>
    </row>
    <row r="108" spans="1:5">
      <c r="D108" s="579"/>
      <c r="E108" s="579"/>
    </row>
    <row r="109" spans="1:5">
      <c r="D109" s="579"/>
      <c r="E109" s="579"/>
    </row>
    <row r="110" spans="1:5">
      <c r="D110" s="579"/>
      <c r="E110" s="579"/>
    </row>
    <row r="111" spans="1:5">
      <c r="D111" s="579"/>
      <c r="E111" s="579"/>
    </row>
    <row r="112" spans="1:5">
      <c r="D112" s="579"/>
      <c r="E112" s="579"/>
    </row>
    <row r="113" spans="4:5">
      <c r="D113" s="579"/>
      <c r="E113" s="579"/>
    </row>
    <row r="114" spans="4:5">
      <c r="D114" s="579"/>
      <c r="E114" s="579"/>
    </row>
    <row r="115" spans="4:5">
      <c r="D115" s="579"/>
      <c r="E115" s="579"/>
    </row>
    <row r="116" spans="4:5">
      <c r="D116" s="579"/>
      <c r="E116" s="579"/>
    </row>
    <row r="117" spans="4:5">
      <c r="D117" s="579"/>
      <c r="E117" s="579"/>
    </row>
    <row r="118" spans="4:5">
      <c r="D118" s="579"/>
      <c r="E118" s="579"/>
    </row>
    <row r="119" spans="4:5">
      <c r="D119" s="579"/>
      <c r="E119" s="579"/>
    </row>
    <row r="120" spans="4:5">
      <c r="D120" s="579"/>
      <c r="E120" s="579"/>
    </row>
    <row r="121" spans="4:5">
      <c r="D121" s="579"/>
      <c r="E121" s="579"/>
    </row>
    <row r="122" spans="4:5">
      <c r="D122" s="579"/>
      <c r="E122" s="579"/>
    </row>
    <row r="123" spans="4:5">
      <c r="D123" s="579"/>
      <c r="E123" s="579"/>
    </row>
    <row r="124" spans="4:5">
      <c r="D124" s="579"/>
      <c r="E124" s="579"/>
    </row>
    <row r="125" spans="4:5">
      <c r="D125" s="579"/>
      <c r="E125" s="579"/>
    </row>
    <row r="126" spans="4:5">
      <c r="D126" s="579"/>
      <c r="E126" s="579"/>
    </row>
    <row r="127" spans="4:5">
      <c r="D127" s="579"/>
      <c r="E127" s="579"/>
    </row>
    <row r="128" spans="4:5">
      <c r="D128" s="579"/>
      <c r="E128" s="579"/>
    </row>
    <row r="129" spans="2:5">
      <c r="D129" s="579"/>
      <c r="E129" s="579"/>
    </row>
    <row r="130" spans="2:5">
      <c r="D130" s="579"/>
      <c r="E130" s="579"/>
    </row>
    <row r="131" spans="2:5">
      <c r="D131" s="579"/>
      <c r="E131" s="579"/>
    </row>
    <row r="132" spans="2:5" s="289" customFormat="1">
      <c r="B132" s="604"/>
    </row>
    <row r="133" spans="2:5" s="289" customFormat="1">
      <c r="B133" s="604"/>
    </row>
    <row r="134" spans="2:5" s="289" customFormat="1">
      <c r="B134" s="604"/>
    </row>
  </sheetData>
  <sheetProtection formatColumns="0" formatRows="0" selectLockedCells="1" sort="0" selectUnlockedCells="1"/>
  <hyperlinks>
    <hyperlink ref="C55" location="'6.14'!A1" display="'6.14'!A1"/>
    <hyperlink ref="C53" location="'6.12'!A1" display="'6.12'!A1"/>
    <hyperlink ref="C52" location="'6.11'!A1" display="'6.11'!A1"/>
    <hyperlink ref="C54" location="'6.13'!A1" display="'6.13'!A1"/>
    <hyperlink ref="C51" location="'6.10'!A1" display="'6.10'!A1"/>
    <hyperlink ref="C6" location="Info!A1" display="Info!A1"/>
    <hyperlink ref="C81" location="'9.6'!A1" display="'9.6'!A1"/>
    <hyperlink ref="C80" location="'9.5'!A1" display="'9.5'!A1"/>
    <hyperlink ref="C79" location="'9.4'!A1" display="'9.4'!A1"/>
    <hyperlink ref="C78" location="'9.3'!A1" display="'9.3'!A1"/>
    <hyperlink ref="C77" location="'9.2'!A1" display="'9.2'!A1"/>
    <hyperlink ref="C76" location="'9.1'!A1" display="'9.1'!A1"/>
    <hyperlink ref="C89" location="'11.2'!A1" display="'11.2'!A1"/>
    <hyperlink ref="C88" location="'11.1'!A1" display="'11.1'!A1"/>
    <hyperlink ref="C85" location="'10.2'!A1" display="'10.2'!A1"/>
    <hyperlink ref="C84" location="'10.1'!A1" display="'10.1'!A1"/>
    <hyperlink ref="C98" location="'12.7'!A1" display="'12.7'!A1"/>
    <hyperlink ref="C97" location="'12.6'!A1" display="'12.6'!A1"/>
    <hyperlink ref="C96" location="'12.5'!A1" display="'12.5'!A1"/>
    <hyperlink ref="C95" location="'12.4'!A1" display="'12.4'!A1"/>
    <hyperlink ref="C94" location="'12.3'!A1" display="'12.3'!A1"/>
    <hyperlink ref="C93" location="'12.2'!A1" display="'12.2'!A1"/>
    <hyperlink ref="C92" location="'12.1'!A1" display="'12.1'!A1"/>
    <hyperlink ref="C102" location="'13.2'!A1" display="'13.2'!A1"/>
    <hyperlink ref="C101" location="'13.1'!A1" display="'13.1'!A1"/>
    <hyperlink ref="C73" location="'8.11'!A1" display="'8.11'!A1"/>
    <hyperlink ref="C72" location="'8.10'!A1" display="'8.10'!A1"/>
    <hyperlink ref="C71" location="'8.9'!A1" display="'8.9'!A1"/>
    <hyperlink ref="C70" location="'8.8'!A1" display="'8.8'!A1"/>
    <hyperlink ref="C69" location="'8.7'!A1" display="'8.7'!A1"/>
    <hyperlink ref="C68" location="'8.6'!A1" display="'8.6'!A1"/>
    <hyperlink ref="C67" location="'8.5'!A1" display="'8.5'!A1"/>
    <hyperlink ref="C66" location="'8.4'!A1" display="'8.4'!A1"/>
    <hyperlink ref="C65" location="'8.3'!A1" display="'8.3'!A1"/>
    <hyperlink ref="C64" location="'8.2'!A1" display="'8.2'!A1"/>
    <hyperlink ref="C63" location="'8.1'!A1" display="'8.1'!A1"/>
    <hyperlink ref="C60" location="'7.3'!A1" display="'7.3'!A1"/>
    <hyperlink ref="C59" location="'7.2'!A1" display="'7.2'!A1"/>
    <hyperlink ref="C58" location="'7.1'!A1" display="'7.1'!A1"/>
    <hyperlink ref="C50" location="'6.9'!A1" display="'6.9'!A1"/>
    <hyperlink ref="C49" location="'6.8'!A1" display="'6.8'!A1"/>
    <hyperlink ref="C48" location="'6.7'!A1" display="'6.7'!A1"/>
    <hyperlink ref="C47" location="'6.6'!A1" display="'6.6'!A1"/>
    <hyperlink ref="C46" location="'6.5'!A1" display="'6.5'!A1"/>
    <hyperlink ref="C45" location="'6.4'!A1" display="'6.4'!A1"/>
    <hyperlink ref="C44" location="'6.3'!A1" display="'6.3'!A1"/>
    <hyperlink ref="C43" location="'6.2'!A1" display="'6.2'!A1"/>
    <hyperlink ref="C42" location="'6.1'!A1" display="'6.1'!A1"/>
    <hyperlink ref="C39" location="'5.5'!A1" display="'5.5'!A1"/>
    <hyperlink ref="C38" location="'5.4'!A1" display="'5.4'!A1"/>
    <hyperlink ref="C37" location="'5.3'!A1" display="'5.3'!A1"/>
    <hyperlink ref="C36" location="'5.2'!A1" display="'5.2'!A1"/>
    <hyperlink ref="C35" location="'5.1'!A1" display="'5.1'!A1"/>
    <hyperlink ref="C32" location="'4.7'!A1" display="'4.7'!A1"/>
    <hyperlink ref="C31" location="'4.6'!A1" display="'4.6'!A1"/>
    <hyperlink ref="C30" location="'4.5'!A1" display="'4.5'!A1"/>
    <hyperlink ref="C29" location="'4.4'!A1" display="'4.4'!A1"/>
    <hyperlink ref="C28" location="'4.3'!A1" display="'4.3'!A1"/>
    <hyperlink ref="C27" location="'4.2'!A1" display="'4.2'!A1"/>
    <hyperlink ref="C26" location="'4.1'!A1" display="'4.1'!A1"/>
    <hyperlink ref="C23" location="'3.6'!A1" display="'3.6'!A1"/>
    <hyperlink ref="C22" location="'3.5'!A1" display="'3.5'!A1"/>
    <hyperlink ref="C21" location="'3.4'!A1" display="'3.4'!A1"/>
    <hyperlink ref="C20" location="'3.3'!A1" display="'3.3'!A1"/>
    <hyperlink ref="C19" location="'3.2'!A1" display="'3.2'!A1"/>
    <hyperlink ref="C18" location="'3.1'!A1" display="'3.1'!A1"/>
    <hyperlink ref="C15" location="'2.2'!A1" display="'2.2'!A1"/>
    <hyperlink ref="C14" location="'2.1'!A1" display="'2.1'!A1"/>
    <hyperlink ref="C11" location="'1.3'!A1" display="'1.3'!A1"/>
    <hyperlink ref="C10" location="'1.2'!A1" display="'1.2'!A1"/>
    <hyperlink ref="C9" location="'1.1'!A1" display="'1.1'!A1"/>
    <hyperlink ref="C3" r:id="rId1" display="Energimyndigheten - Energiläget"/>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drawing r:id="rId4"/>
  <legacyDrawing r:id="rId5"/>
  <legacyDrawingHF r:id="rId6"/>
  <controls>
    <mc:AlternateContent xmlns:mc="http://schemas.openxmlformats.org/markup-compatibility/2006">
      <mc:Choice Requires="x14">
        <control shapeId="48131" r:id="rId7" name="Label1">
          <controlPr defaultSize="0" autoLine="0" r:id="rId8">
            <anchor moveWithCells="1">
              <from>
                <xdr:col>3</xdr:col>
                <xdr:colOff>28575</xdr:colOff>
                <xdr:row>0</xdr:row>
                <xdr:rowOff>400050</xdr:rowOff>
              </from>
              <to>
                <xdr:col>3</xdr:col>
                <xdr:colOff>3019425</xdr:colOff>
                <xdr:row>1</xdr:row>
                <xdr:rowOff>133350</xdr:rowOff>
              </to>
            </anchor>
          </controlPr>
        </control>
      </mc:Choice>
      <mc:Fallback>
        <control shapeId="48131" r:id="rId7" name="Label1"/>
      </mc:Fallback>
    </mc:AlternateContent>
    <mc:AlternateContent xmlns:mc="http://schemas.openxmlformats.org/markup-compatibility/2006">
      <mc:Choice Requires="x14">
        <control shapeId="48130" r:id="rId9" name="ComboBox1">
          <controlPr defaultSize="0" autoLine="0" linkedCell="språk" listFillRange="language" r:id="rId10">
            <anchor moveWithCells="1">
              <from>
                <xdr:col>3</xdr:col>
                <xdr:colOff>28575</xdr:colOff>
                <xdr:row>1</xdr:row>
                <xdr:rowOff>152400</xdr:rowOff>
              </from>
              <to>
                <xdr:col>3</xdr:col>
                <xdr:colOff>3009900</xdr:colOff>
                <xdr:row>2</xdr:row>
                <xdr:rowOff>133350</xdr:rowOff>
              </to>
            </anchor>
          </controlPr>
        </control>
      </mc:Choice>
      <mc:Fallback>
        <control shapeId="48130" r:id="rId9" name="Combo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14:formula1>
            <xm:f>Översättning!$B$1:$C$1</xm:f>
          </x14:formula1>
          <xm:sqref>G1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theme="0"/>
  </sheetPr>
  <dimension ref="A1:F46"/>
  <sheetViews>
    <sheetView zoomScaleNormal="100" workbookViewId="0">
      <pane ySplit="6" topLeftCell="A7" activePane="bottomLeft" state="frozen"/>
      <selection pane="bottomLeft" activeCell="B1" sqref="B1"/>
    </sheetView>
  </sheetViews>
  <sheetFormatPr defaultColWidth="8.1328125" defaultRowHeight="11.65"/>
  <cols>
    <col min="1" max="1" width="8.265625" style="96" customWidth="1"/>
    <col min="2" max="5" width="18.73046875" style="97" customWidth="1"/>
    <col min="6" max="16384" width="8.1328125" style="61"/>
  </cols>
  <sheetData>
    <row r="1" spans="1:6" ht="15.95" customHeight="1">
      <c r="A1" s="524" t="str">
        <f>IF(språk=lista[[#Headers],[Svenska]],"Innehåll",IF(språk=lista[[#Headers],[English]],"Contents","FEL"))</f>
        <v>Contents</v>
      </c>
    </row>
    <row r="2" spans="1:6" ht="15.95" customHeight="1"/>
    <row r="3" spans="1:6" ht="36" customHeight="1">
      <c r="A3" s="1057" t="str">
        <f>IFERROR(INDEX(lista[],MATCH($A5,lista[ID],0),MATCH(språk,lista[#Headers],0)),"")</f>
        <v>Energy use in the industrial sector, from 1981, kWh per real (2015) SEK value added</v>
      </c>
      <c r="B3" s="1057"/>
      <c r="C3" s="1057"/>
      <c r="D3" s="1057"/>
      <c r="E3" s="1057"/>
      <c r="F3" s="93"/>
    </row>
    <row r="4" spans="1:6" ht="15.95" customHeight="1">
      <c r="A4" s="271"/>
      <c r="B4" s="271"/>
      <c r="C4" s="411"/>
      <c r="D4" s="411"/>
      <c r="E4" s="411"/>
      <c r="F4" s="449"/>
    </row>
    <row r="5" spans="1:6" s="271" customFormat="1" ht="15.95" hidden="1" customHeight="1">
      <c r="A5" s="269">
        <v>26</v>
      </c>
      <c r="B5" s="270" t="s">
        <v>647</v>
      </c>
      <c r="C5" s="270" t="s">
        <v>648</v>
      </c>
      <c r="D5" s="270" t="s">
        <v>649</v>
      </c>
      <c r="E5" s="270" t="s">
        <v>650</v>
      </c>
    </row>
    <row r="6" spans="1:6" ht="26.1" customHeight="1">
      <c r="A6" s="91"/>
      <c r="B6" s="79" t="str">
        <f>IFERROR(INDEX(_4.6[],MATCH(språk,_4.6[[id]:[id]],0),MATCH(B$5,_4.6[#Headers],0)),"")</f>
        <v>Petroleum products</v>
      </c>
      <c r="C6" s="79" t="str">
        <f>IFERROR(INDEX(_4.6[],MATCH(språk,_4.6[[id]:[id]],0),MATCH(C$5,_4.6[#Headers],0)),"")</f>
        <v>Electricity</v>
      </c>
      <c r="D6" s="79" t="str">
        <f>IFERROR(INDEX(_4.6[],MATCH(språk,_4.6[[id]:[id]],0),MATCH(D$5,_4.6[#Headers],0)),"")</f>
        <v>Biomass</v>
      </c>
      <c r="E6" s="79" t="str">
        <f>IFERROR(INDEX(_4.6[],MATCH(språk,_4.6[[id]:[id]],0),MATCH(E$5,_4.6[#Headers],0)),"")</f>
        <v>Total energy</v>
      </c>
    </row>
    <row r="7" spans="1:6" ht="15.95" customHeight="1">
      <c r="A7" s="81">
        <v>1981</v>
      </c>
      <c r="B7" s="201">
        <v>0.21197269559321585</v>
      </c>
      <c r="C7" s="201">
        <v>0.17693955134245423</v>
      </c>
      <c r="D7" s="201">
        <v>0.15299284514573111</v>
      </c>
      <c r="E7" s="201">
        <v>0.61019755049427826</v>
      </c>
    </row>
    <row r="8" spans="1:6" ht="15.95" customHeight="1">
      <c r="A8" s="768">
        <v>1982</v>
      </c>
      <c r="B8" s="781">
        <v>0.18238978734063316</v>
      </c>
      <c r="C8" s="781">
        <v>0.17479021286810675</v>
      </c>
      <c r="D8" s="781">
        <v>0.14439191497800122</v>
      </c>
      <c r="E8" s="781">
        <v>0.57086215302448173</v>
      </c>
    </row>
    <row r="9" spans="1:6" ht="15.95" customHeight="1">
      <c r="A9" s="81">
        <v>1983</v>
      </c>
      <c r="B9" s="201">
        <v>0.142824740483315</v>
      </c>
      <c r="C9" s="201">
        <v>0.17777086027967751</v>
      </c>
      <c r="D9" s="201">
        <v>0.15606827722941544</v>
      </c>
      <c r="E9" s="201">
        <v>0.54501816374438961</v>
      </c>
    </row>
    <row r="10" spans="1:6" ht="15.95" customHeight="1">
      <c r="A10" s="768">
        <v>1984</v>
      </c>
      <c r="B10" s="781">
        <v>0.12221406708621146</v>
      </c>
      <c r="C10" s="781">
        <v>0.17563686753349636</v>
      </c>
      <c r="D10" s="781">
        <v>0.15483682592716713</v>
      </c>
      <c r="E10" s="781">
        <v>0.51987287242572722</v>
      </c>
    </row>
    <row r="11" spans="1:6" ht="15.95" customHeight="1">
      <c r="A11" s="81">
        <v>1985</v>
      </c>
      <c r="B11" s="201">
        <v>0.11538426433389123</v>
      </c>
      <c r="C11" s="201">
        <v>0.17893608788521906</v>
      </c>
      <c r="D11" s="201">
        <v>0.15204600545118313</v>
      </c>
      <c r="E11" s="201">
        <v>0.5201948852044056</v>
      </c>
    </row>
    <row r="12" spans="1:6" ht="15.95" customHeight="1">
      <c r="A12" s="768">
        <v>1986</v>
      </c>
      <c r="B12" s="781">
        <v>0.10605728137825568</v>
      </c>
      <c r="C12" s="781">
        <v>0.1771441575605365</v>
      </c>
      <c r="D12" s="781">
        <v>0.15133450547853564</v>
      </c>
      <c r="E12" s="781">
        <v>0.511320504538605</v>
      </c>
    </row>
    <row r="13" spans="1:6" ht="15.95" customHeight="1">
      <c r="A13" s="81">
        <v>1987</v>
      </c>
      <c r="B13" s="201">
        <v>9.7812975363118185E-2</v>
      </c>
      <c r="C13" s="201">
        <v>0.18458039016879441</v>
      </c>
      <c r="D13" s="201">
        <v>0.15154747177289651</v>
      </c>
      <c r="E13" s="201">
        <v>0.51068343262116112</v>
      </c>
    </row>
    <row r="14" spans="1:6" ht="15.95" customHeight="1">
      <c r="A14" s="768">
        <v>1988</v>
      </c>
      <c r="B14" s="781">
        <v>8.4490694519805287E-2</v>
      </c>
      <c r="C14" s="781">
        <v>0.18578640104725158</v>
      </c>
      <c r="D14" s="781">
        <v>0.15248749115012861</v>
      </c>
      <c r="E14" s="781">
        <v>0.50099918424395151</v>
      </c>
    </row>
    <row r="15" spans="1:6" ht="15.95" customHeight="1">
      <c r="A15" s="81">
        <v>1989</v>
      </c>
      <c r="B15" s="201">
        <v>7.7954380118162386E-2</v>
      </c>
      <c r="C15" s="201">
        <v>0.18762297023853569</v>
      </c>
      <c r="D15" s="201">
        <v>0.1520901785253688</v>
      </c>
      <c r="E15" s="201">
        <v>0.49617484610728863</v>
      </c>
    </row>
    <row r="16" spans="1:6" ht="15.95" customHeight="1">
      <c r="A16" s="768">
        <v>1990</v>
      </c>
      <c r="B16" s="781">
        <v>7.4070474515690224E-2</v>
      </c>
      <c r="C16" s="781">
        <v>0.18887629434787007</v>
      </c>
      <c r="D16" s="781">
        <v>0.15249951059035374</v>
      </c>
      <c r="E16" s="781">
        <v>0.4998419692168693</v>
      </c>
    </row>
    <row r="17" spans="1:5" ht="15.95" customHeight="1">
      <c r="A17" s="81">
        <v>1991</v>
      </c>
      <c r="B17" s="201">
        <v>6.7608230090023522E-2</v>
      </c>
      <c r="C17" s="201">
        <v>0.1885147220480477</v>
      </c>
      <c r="D17" s="201">
        <v>0.16489769965208492</v>
      </c>
      <c r="E17" s="201">
        <v>0.50161121475075232</v>
      </c>
    </row>
    <row r="18" spans="1:5" ht="15.95" customHeight="1">
      <c r="A18" s="768">
        <v>1992</v>
      </c>
      <c r="B18" s="781">
        <v>6.720530731499702E-2</v>
      </c>
      <c r="C18" s="781">
        <v>0.19198585127365328</v>
      </c>
      <c r="D18" s="781">
        <v>0.17096202133938496</v>
      </c>
      <c r="E18" s="781">
        <v>0.51143464229425684</v>
      </c>
    </row>
    <row r="19" spans="1:5" ht="15.95" customHeight="1">
      <c r="A19" s="472">
        <v>1993</v>
      </c>
      <c r="B19" s="494">
        <v>7.3034450060945472E-2</v>
      </c>
      <c r="C19" s="494">
        <v>0.18991265797196538</v>
      </c>
      <c r="D19" s="494">
        <v>0.17596438631975683</v>
      </c>
      <c r="E19" s="494">
        <v>0.52071931354632961</v>
      </c>
    </row>
    <row r="20" spans="1:5" ht="15.95" customHeight="1">
      <c r="A20" s="772">
        <v>1994</v>
      </c>
      <c r="B20" s="782">
        <v>7.20128072981506E-2</v>
      </c>
      <c r="C20" s="782">
        <v>0.16540949636713057</v>
      </c>
      <c r="D20" s="782">
        <v>0.15481522049209318</v>
      </c>
      <c r="E20" s="782">
        <v>0.46465166922310425</v>
      </c>
    </row>
    <row r="21" spans="1:5" ht="15.95" customHeight="1">
      <c r="A21" s="472">
        <v>1995</v>
      </c>
      <c r="B21" s="494">
        <v>6.6937459166412999E-2</v>
      </c>
      <c r="C21" s="494">
        <v>0.15018477412913309</v>
      </c>
      <c r="D21" s="494">
        <v>0.1435270982733956</v>
      </c>
      <c r="E21" s="494">
        <v>0.4270791187662456</v>
      </c>
    </row>
    <row r="22" spans="1:5" ht="15.95" customHeight="1">
      <c r="A22" s="772">
        <v>1996</v>
      </c>
      <c r="B22" s="782">
        <v>6.8733552803357398E-2</v>
      </c>
      <c r="C22" s="782">
        <v>0.1458032601517634</v>
      </c>
      <c r="D22" s="782">
        <v>0.13785524098961205</v>
      </c>
      <c r="E22" s="782">
        <v>0.41892916610347858</v>
      </c>
    </row>
    <row r="23" spans="1:5" ht="15.95" customHeight="1">
      <c r="A23" s="472">
        <v>1997</v>
      </c>
      <c r="B23" s="494">
        <v>6.7089760764548811E-2</v>
      </c>
      <c r="C23" s="494">
        <v>0.13706585824475603</v>
      </c>
      <c r="D23" s="494">
        <v>0.13409077122972524</v>
      </c>
      <c r="E23" s="494">
        <v>0.39746256220914644</v>
      </c>
    </row>
    <row r="24" spans="1:5" ht="15.95" customHeight="1">
      <c r="A24" s="772">
        <v>1998</v>
      </c>
      <c r="B24" s="782">
        <v>5.7649560232421009E-2</v>
      </c>
      <c r="C24" s="782">
        <v>0.12908271697893944</v>
      </c>
      <c r="D24" s="782">
        <v>0.1240296014475798</v>
      </c>
      <c r="E24" s="782">
        <v>0.3644724505901657</v>
      </c>
    </row>
    <row r="25" spans="1:5" ht="15.95" customHeight="1">
      <c r="A25" s="472">
        <v>1999</v>
      </c>
      <c r="B25" s="494">
        <v>5.3347253854326419E-2</v>
      </c>
      <c r="C25" s="494">
        <v>0.12104219015204896</v>
      </c>
      <c r="D25" s="494">
        <v>0.11590441038733132</v>
      </c>
      <c r="E25" s="494">
        <v>0.33978198195871101</v>
      </c>
    </row>
    <row r="26" spans="1:5" ht="15.95" customHeight="1">
      <c r="A26" s="772">
        <v>2000</v>
      </c>
      <c r="B26" s="782">
        <v>4.3821549588187937E-2</v>
      </c>
      <c r="C26" s="782">
        <v>0.11549818393236802</v>
      </c>
      <c r="D26" s="782">
        <v>0.10488300569724801</v>
      </c>
      <c r="E26" s="782">
        <v>0.31096012509300652</v>
      </c>
    </row>
    <row r="27" spans="1:5" ht="15.95" customHeight="1">
      <c r="A27" s="472">
        <v>2001</v>
      </c>
      <c r="B27" s="494">
        <v>4.1362191889029787E-2</v>
      </c>
      <c r="C27" s="494">
        <v>0.11523390682479989</v>
      </c>
      <c r="D27" s="494">
        <v>0.10364352444922556</v>
      </c>
      <c r="E27" s="494">
        <v>0.31141872722413211</v>
      </c>
    </row>
    <row r="28" spans="1:5" ht="15.95" customHeight="1">
      <c r="A28" s="772">
        <v>2002</v>
      </c>
      <c r="B28" s="782">
        <v>3.7222508412508806E-2</v>
      </c>
      <c r="C28" s="782">
        <v>0.10912089400010458</v>
      </c>
      <c r="D28" s="782">
        <v>0.10574683306286271</v>
      </c>
      <c r="E28" s="782">
        <v>0.30174409889645681</v>
      </c>
    </row>
    <row r="29" spans="1:5" ht="15.95" customHeight="1">
      <c r="A29" s="472">
        <v>2003</v>
      </c>
      <c r="B29" s="494">
        <v>4.0031431039103255E-2</v>
      </c>
      <c r="C29" s="494">
        <v>0.10223632894979166</v>
      </c>
      <c r="D29" s="494">
        <v>0.10367047045048608</v>
      </c>
      <c r="E29" s="494">
        <v>0.29427611306783685</v>
      </c>
    </row>
    <row r="30" spans="1:5" ht="15.95" customHeight="1">
      <c r="A30" s="772">
        <v>2004</v>
      </c>
      <c r="B30" s="782">
        <v>3.3659795853665325E-2</v>
      </c>
      <c r="C30" s="782">
        <v>9.5211716174528047E-2</v>
      </c>
      <c r="D30" s="782">
        <v>9.5182579283880034E-2</v>
      </c>
      <c r="E30" s="782">
        <v>0.26955110723194564</v>
      </c>
    </row>
    <row r="31" spans="1:5" ht="15.95" customHeight="1">
      <c r="A31" s="472">
        <v>2005</v>
      </c>
      <c r="B31" s="494">
        <v>2.8874088767032045E-2</v>
      </c>
      <c r="C31" s="494">
        <v>9.1750591427332814E-2</v>
      </c>
      <c r="D31" s="494">
        <v>9.757142256270436E-2</v>
      </c>
      <c r="E31" s="494">
        <v>0.25710737915317361</v>
      </c>
    </row>
    <row r="32" spans="1:5" ht="15.95" customHeight="1">
      <c r="A32" s="772">
        <v>2006</v>
      </c>
      <c r="B32" s="782">
        <v>2.6872118902654007E-2</v>
      </c>
      <c r="C32" s="782">
        <v>8.7006130007431223E-2</v>
      </c>
      <c r="D32" s="782">
        <v>8.9709166637461049E-2</v>
      </c>
      <c r="E32" s="782">
        <v>0.24058993407344176</v>
      </c>
    </row>
    <row r="33" spans="1:5" ht="15.95" customHeight="1">
      <c r="A33" s="472">
        <v>2007</v>
      </c>
      <c r="B33" s="494">
        <v>2.3310849197680884E-2</v>
      </c>
      <c r="C33" s="494">
        <v>8.4818653237565877E-2</v>
      </c>
      <c r="D33" s="494">
        <v>8.9574973533164598E-2</v>
      </c>
      <c r="E33" s="494">
        <v>0.23509524702743184</v>
      </c>
    </row>
    <row r="34" spans="1:5" ht="15.95" customHeight="1">
      <c r="A34" s="772">
        <v>2008</v>
      </c>
      <c r="B34" s="782">
        <v>2.4275388801864174E-2</v>
      </c>
      <c r="C34" s="782">
        <v>8.450386241680935E-2</v>
      </c>
      <c r="D34" s="782">
        <v>9.012329076734199E-2</v>
      </c>
      <c r="E34" s="782">
        <v>0.23536894606931236</v>
      </c>
    </row>
    <row r="35" spans="1:5" ht="15.95" customHeight="1">
      <c r="A35" s="475">
        <v>2009</v>
      </c>
      <c r="B35" s="495">
        <v>2.5158250870315112E-2</v>
      </c>
      <c r="C35" s="495">
        <v>9.3863677056658518E-2</v>
      </c>
      <c r="D35" s="495">
        <v>0.10657333611698527</v>
      </c>
      <c r="E35" s="495">
        <v>0.25936768148491668</v>
      </c>
    </row>
    <row r="36" spans="1:5" ht="15.95" customHeight="1">
      <c r="A36" s="772">
        <v>2010</v>
      </c>
      <c r="B36" s="782">
        <v>2.206887440542659E-2</v>
      </c>
      <c r="C36" s="782">
        <v>8.0966952067942702E-2</v>
      </c>
      <c r="D36" s="782">
        <v>9.0427911961941901E-2</v>
      </c>
      <c r="E36" s="782">
        <v>0.23002314164299892</v>
      </c>
    </row>
    <row r="37" spans="1:5" ht="15.95" customHeight="1">
      <c r="A37" s="472">
        <v>2011</v>
      </c>
      <c r="B37" s="494">
        <v>1.8467476599215746E-2</v>
      </c>
      <c r="C37" s="496">
        <v>7.8445907393078967E-2</v>
      </c>
      <c r="D37" s="496">
        <v>8.6179229963472492E-2</v>
      </c>
      <c r="E37" s="496">
        <v>0.21858670803071553</v>
      </c>
    </row>
    <row r="38" spans="1:5" ht="15.95" customHeight="1">
      <c r="A38" s="772">
        <v>2012</v>
      </c>
      <c r="B38" s="782">
        <v>1.8762649471847494E-2</v>
      </c>
      <c r="C38" s="782">
        <v>8.3464044970663162E-2</v>
      </c>
      <c r="D38" s="782">
        <v>9.3839304754403496E-2</v>
      </c>
      <c r="E38" s="782">
        <v>0.23184633596601534</v>
      </c>
    </row>
    <row r="39" spans="1:5" ht="15.95" customHeight="1">
      <c r="A39" s="472">
        <v>2013</v>
      </c>
      <c r="B39" s="494">
        <v>1.6311158606277257E-2</v>
      </c>
      <c r="C39" s="496">
        <v>8.1910810583047861E-2</v>
      </c>
      <c r="D39" s="496">
        <v>9.761241075156657E-2</v>
      </c>
      <c r="E39" s="496">
        <v>0.23112401770196764</v>
      </c>
    </row>
    <row r="40" spans="1:5" ht="15.95" customHeight="1">
      <c r="A40" s="772">
        <v>2014</v>
      </c>
      <c r="B40" s="782">
        <v>1.4586823874916372E-2</v>
      </c>
      <c r="C40" s="782">
        <v>8.0384030717283325E-2</v>
      </c>
      <c r="D40" s="782">
        <v>9.9856064474836789E-2</v>
      </c>
      <c r="E40" s="782">
        <v>0.23080649210121326</v>
      </c>
    </row>
    <row r="41" spans="1:5" ht="15.95" customHeight="1">
      <c r="A41" s="472">
        <v>2015</v>
      </c>
      <c r="B41" s="494">
        <v>1.311922781140046E-2</v>
      </c>
      <c r="C41" s="496">
        <v>7.6185257794314024E-2</v>
      </c>
      <c r="D41" s="496">
        <v>9.5427970450671584E-2</v>
      </c>
      <c r="E41" s="496">
        <v>0.2178963738380168</v>
      </c>
    </row>
    <row r="42" spans="1:5" ht="15.95" customHeight="1">
      <c r="B42" s="61"/>
      <c r="C42" s="61"/>
      <c r="D42" s="61"/>
      <c r="E42" s="94"/>
    </row>
    <row r="43" spans="1:5" ht="13.15">
      <c r="A43" s="95" t="s">
        <v>35</v>
      </c>
    </row>
    <row r="44" spans="1:5" ht="13.15">
      <c r="A44" s="493"/>
    </row>
    <row r="45" spans="1:5" ht="13.15">
      <c r="A45" s="509"/>
    </row>
    <row r="46" spans="1:5" ht="13.15">
      <c r="A46" s="70"/>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theme="0"/>
  </sheetPr>
  <dimension ref="A1:K41"/>
  <sheetViews>
    <sheetView zoomScaleNormal="100" workbookViewId="0">
      <pane ySplit="6" topLeftCell="A28" activePane="bottomLeft" state="frozen"/>
      <selection pane="bottomLeft" activeCell="B1" sqref="B1"/>
    </sheetView>
  </sheetViews>
  <sheetFormatPr defaultColWidth="9.1328125" defaultRowHeight="13.15"/>
  <cols>
    <col min="1" max="1" width="8.59765625" style="193" customWidth="1"/>
    <col min="2" max="7" width="14.73046875" style="170" customWidth="1"/>
    <col min="8" max="16384" width="9.1328125" style="132"/>
  </cols>
  <sheetData>
    <row r="1" spans="1:11" ht="15.95" customHeight="1">
      <c r="A1" s="524" t="str">
        <f>IF(språk=lista[[#Headers],[Svenska]],"Innehåll",IF(språk=lista[[#Headers],[English]],"Contents","FEL"))</f>
        <v>Contents</v>
      </c>
    </row>
    <row r="2" spans="1:11" ht="15.95" customHeight="1"/>
    <row r="3" spans="1:11" ht="15.95" customHeight="1">
      <c r="A3" s="482" t="str">
        <f>IFERROR(INDEX(lista[],MATCH($A5,lista[ID],0),MATCH(språk,lista[#Headers],0)),"")</f>
        <v>Energy prices for industrial customers, from 1986, real (2015) prices, öre/kWh</v>
      </c>
      <c r="B3" s="482"/>
      <c r="C3" s="482"/>
      <c r="D3" s="482"/>
      <c r="E3" s="483"/>
      <c r="F3" s="483"/>
      <c r="G3" s="483"/>
      <c r="H3" s="483"/>
      <c r="I3" s="483"/>
      <c r="J3" s="194"/>
      <c r="K3" s="194"/>
    </row>
    <row r="4" spans="1:11" s="664" customFormat="1" ht="15.95" customHeight="1">
      <c r="A4" s="660"/>
      <c r="B4" s="661"/>
      <c r="C4" s="662"/>
      <c r="D4" s="662"/>
      <c r="E4" s="662"/>
      <c r="F4" s="662"/>
      <c r="G4" s="662"/>
      <c r="H4" s="663"/>
      <c r="I4" s="663"/>
    </row>
    <row r="5" spans="1:11" s="285" customFormat="1" ht="15.95" hidden="1" customHeight="1">
      <c r="A5" s="486">
        <v>27</v>
      </c>
      <c r="B5" s="484" t="s">
        <v>647</v>
      </c>
      <c r="C5" s="484" t="s">
        <v>648</v>
      </c>
      <c r="D5" s="484" t="s">
        <v>649</v>
      </c>
      <c r="E5" s="484" t="s">
        <v>650</v>
      </c>
      <c r="F5" s="484" t="s">
        <v>651</v>
      </c>
      <c r="G5" s="484" t="s">
        <v>652</v>
      </c>
      <c r="H5" s="485"/>
      <c r="I5" s="485"/>
    </row>
    <row r="6" spans="1:11" ht="26.1" customHeight="1">
      <c r="A6" s="487"/>
      <c r="B6" s="488" t="str">
        <f>IFERROR(INDEX(_4.7[],MATCH(språk,_4.7[[id]:[id]],0),MATCH(B$5,_4.7[#Headers],0)),"")</f>
        <v>Natural gas</v>
      </c>
      <c r="C6" s="488" t="str">
        <f>IFERROR(INDEX(_4.7[],MATCH(språk,_4.7[[id]:[id]],0),MATCH(C$5,_4.7[#Headers],0)),"")</f>
        <v>Electricity</v>
      </c>
      <c r="D6" s="488" t="str">
        <f>IFERROR(INDEX(_4.7[],MATCH(språk,_4.7[[id]:[id]],0),MATCH(D$5,_4.7[#Headers],0)),"")</f>
        <v>Coal</v>
      </c>
      <c r="E6" s="488" t="str">
        <f>IFERROR(INDEX(_4.7[],MATCH(språk,_4.7[[id]:[id]],0),MATCH(E$5,_4.7[#Headers],0)),"")</f>
        <v>Wood chips</v>
      </c>
      <c r="F6" s="488" t="str">
        <f>IFERROR(INDEX(_4.7[],MATCH(språk,_4.7[[id]:[id]],0),MATCH(F$5,_4.7[#Headers],0)),"")</f>
        <v>Light fuel oil</v>
      </c>
      <c r="G6" s="488" t="str">
        <f>IFERROR(INDEX(_4.7[],MATCH(språk,_4.7[[id]:[id]],0),MATCH(G$5,_4.7[#Headers],0)),"")</f>
        <v>Heavy fuel oil</v>
      </c>
      <c r="H6" s="489"/>
      <c r="I6" s="489"/>
    </row>
    <row r="7" spans="1:11" ht="15.95" customHeight="1">
      <c r="A7" s="783">
        <v>1986</v>
      </c>
      <c r="B7" s="784"/>
      <c r="C7" s="784">
        <v>47.38749532010484</v>
      </c>
      <c r="D7" s="784"/>
      <c r="E7" s="784"/>
      <c r="F7" s="784"/>
      <c r="G7" s="784"/>
      <c r="H7" s="489"/>
      <c r="I7" s="489"/>
    </row>
    <row r="8" spans="1:11" ht="15.95" customHeight="1">
      <c r="A8" s="490">
        <v>1987</v>
      </c>
      <c r="B8" s="491"/>
      <c r="C8" s="491">
        <v>45.483140683955206</v>
      </c>
      <c r="D8" s="491"/>
      <c r="E8" s="491"/>
      <c r="F8" s="491"/>
      <c r="G8" s="491"/>
      <c r="H8" s="489"/>
      <c r="I8" s="489"/>
    </row>
    <row r="9" spans="1:11" ht="15.95" customHeight="1">
      <c r="A9" s="783">
        <v>1988</v>
      </c>
      <c r="B9" s="784"/>
      <c r="C9" s="784">
        <v>43.694917940011315</v>
      </c>
      <c r="D9" s="784"/>
      <c r="E9" s="784"/>
      <c r="F9" s="784"/>
      <c r="G9" s="784"/>
      <c r="H9" s="489"/>
      <c r="I9" s="489"/>
    </row>
    <row r="10" spans="1:11" ht="15.95" customHeight="1">
      <c r="A10" s="490">
        <v>1989</v>
      </c>
      <c r="B10" s="491"/>
      <c r="C10" s="491">
        <v>47.444310931518501</v>
      </c>
      <c r="D10" s="491"/>
      <c r="E10" s="491"/>
      <c r="F10" s="491"/>
      <c r="G10" s="491"/>
      <c r="H10" s="489"/>
      <c r="I10" s="489"/>
    </row>
    <row r="11" spans="1:11" ht="15.95" customHeight="1">
      <c r="A11" s="783">
        <v>1990</v>
      </c>
      <c r="B11" s="784"/>
      <c r="C11" s="784">
        <v>43.4447201079102</v>
      </c>
      <c r="D11" s="784"/>
      <c r="E11" s="784"/>
      <c r="F11" s="784"/>
      <c r="G11" s="784"/>
      <c r="H11" s="489"/>
      <c r="I11" s="489"/>
    </row>
    <row r="12" spans="1:11" ht="15.95" customHeight="1">
      <c r="A12" s="490">
        <v>1991</v>
      </c>
      <c r="B12" s="491"/>
      <c r="C12" s="491">
        <v>43.178668896909947</v>
      </c>
      <c r="D12" s="491"/>
      <c r="E12" s="491"/>
      <c r="F12" s="491"/>
      <c r="G12" s="491"/>
      <c r="H12" s="489"/>
      <c r="I12" s="489"/>
    </row>
    <row r="13" spans="1:11" ht="15.95" customHeight="1">
      <c r="A13" s="783">
        <v>1992</v>
      </c>
      <c r="B13" s="784"/>
      <c r="C13" s="784">
        <v>43.808779774701179</v>
      </c>
      <c r="D13" s="784"/>
      <c r="E13" s="784"/>
      <c r="F13" s="784"/>
      <c r="G13" s="784"/>
      <c r="H13" s="489"/>
      <c r="I13" s="489"/>
    </row>
    <row r="14" spans="1:11" ht="15.95" customHeight="1">
      <c r="A14" s="490">
        <v>1993</v>
      </c>
      <c r="B14" s="491"/>
      <c r="C14" s="491">
        <v>36.115917395409951</v>
      </c>
      <c r="D14" s="491"/>
      <c r="E14" s="491">
        <v>12.471683704889768</v>
      </c>
      <c r="F14" s="491"/>
      <c r="G14" s="491"/>
      <c r="H14" s="489"/>
      <c r="I14" s="489"/>
    </row>
    <row r="15" spans="1:11" ht="15.95" customHeight="1">
      <c r="A15" s="783">
        <v>1994</v>
      </c>
      <c r="B15" s="784"/>
      <c r="C15" s="784">
        <v>36.624136960977374</v>
      </c>
      <c r="D15" s="784"/>
      <c r="E15" s="784">
        <v>12.462379938110356</v>
      </c>
      <c r="F15" s="784"/>
      <c r="G15" s="784"/>
      <c r="H15" s="489"/>
      <c r="I15" s="489"/>
    </row>
    <row r="16" spans="1:11" ht="15.95" customHeight="1">
      <c r="A16" s="490">
        <v>1995</v>
      </c>
      <c r="B16" s="491"/>
      <c r="C16" s="491">
        <v>35.746387385267127</v>
      </c>
      <c r="D16" s="491"/>
      <c r="E16" s="491">
        <v>12.78429826625873</v>
      </c>
      <c r="F16" s="491">
        <v>27.250385470831056</v>
      </c>
      <c r="G16" s="491">
        <v>20.488444486153721</v>
      </c>
      <c r="H16" s="489"/>
      <c r="I16" s="489"/>
    </row>
    <row r="17" spans="1:9" ht="15.95" customHeight="1">
      <c r="A17" s="783">
        <v>1996</v>
      </c>
      <c r="B17" s="784">
        <v>15.769386931895836</v>
      </c>
      <c r="C17" s="784">
        <v>34.198638314475218</v>
      </c>
      <c r="D17" s="784"/>
      <c r="E17" s="784">
        <v>12.963382754584471</v>
      </c>
      <c r="F17" s="784">
        <v>24.242663079298165</v>
      </c>
      <c r="G17" s="784">
        <v>16.098778306241282</v>
      </c>
      <c r="H17" s="489"/>
      <c r="I17" s="489"/>
    </row>
    <row r="18" spans="1:9" ht="15.95" customHeight="1">
      <c r="A18" s="490">
        <v>1997</v>
      </c>
      <c r="B18" s="491">
        <v>18.412509631401651</v>
      </c>
      <c r="C18" s="491">
        <v>37.899480600023246</v>
      </c>
      <c r="D18" s="491">
        <v>15.849693745563739</v>
      </c>
      <c r="E18" s="491">
        <v>13.859680607775493</v>
      </c>
      <c r="F18" s="491">
        <v>30.755320462181441</v>
      </c>
      <c r="G18" s="491">
        <v>19.731523509479199</v>
      </c>
      <c r="H18" s="489"/>
      <c r="I18" s="489"/>
    </row>
    <row r="19" spans="1:9" ht="15.95" customHeight="1">
      <c r="A19" s="783">
        <v>1998</v>
      </c>
      <c r="B19" s="784">
        <v>17.709243508469946</v>
      </c>
      <c r="C19" s="784">
        <v>34.803610571317535</v>
      </c>
      <c r="D19" s="784">
        <v>15.949133410241071</v>
      </c>
      <c r="E19" s="784">
        <v>13.281943256898563</v>
      </c>
      <c r="F19" s="784">
        <v>27.812761707183412</v>
      </c>
      <c r="G19" s="784">
        <v>18.773358331685486</v>
      </c>
      <c r="H19" s="489"/>
      <c r="I19" s="489"/>
    </row>
    <row r="20" spans="1:9" ht="15.95" customHeight="1">
      <c r="A20" s="490">
        <v>1999</v>
      </c>
      <c r="B20" s="491">
        <v>13.489609804853611</v>
      </c>
      <c r="C20" s="491">
        <v>30.481283608650237</v>
      </c>
      <c r="D20" s="491">
        <v>15.103896707495977</v>
      </c>
      <c r="E20" s="491">
        <v>13.220797709776008</v>
      </c>
      <c r="F20" s="491">
        <v>21.434973321736543</v>
      </c>
      <c r="G20" s="491">
        <v>15.455693221252361</v>
      </c>
      <c r="H20" s="489"/>
      <c r="I20" s="489"/>
    </row>
    <row r="21" spans="1:9" ht="15.95" customHeight="1">
      <c r="A21" s="783">
        <v>2000</v>
      </c>
      <c r="B21" s="784">
        <v>19.025822316246408</v>
      </c>
      <c r="C21" s="784">
        <v>30.185876308423758</v>
      </c>
      <c r="D21" s="784">
        <v>15.47939956442171</v>
      </c>
      <c r="E21" s="784">
        <v>13.103193895939574</v>
      </c>
      <c r="F21" s="784">
        <v>30.386285915640862</v>
      </c>
      <c r="G21" s="784">
        <v>23.81044810297794</v>
      </c>
      <c r="H21" s="489"/>
      <c r="I21" s="489"/>
    </row>
    <row r="22" spans="1:9" ht="15.95" customHeight="1">
      <c r="A22" s="490">
        <v>2001</v>
      </c>
      <c r="B22" s="491">
        <v>30.025817156477583</v>
      </c>
      <c r="C22" s="491">
        <v>33.646381369575799</v>
      </c>
      <c r="D22" s="491">
        <v>16.678181191591154</v>
      </c>
      <c r="E22" s="491">
        <v>13.268995469691866</v>
      </c>
      <c r="F22" s="491">
        <v>36.944907665340068</v>
      </c>
      <c r="G22" s="491">
        <v>30.514616162394553</v>
      </c>
      <c r="H22" s="489"/>
      <c r="I22" s="489"/>
    </row>
    <row r="23" spans="1:9" ht="15.95" customHeight="1">
      <c r="A23" s="783">
        <v>2002</v>
      </c>
      <c r="B23" s="784">
        <v>22.75371681626789</v>
      </c>
      <c r="C23" s="784">
        <v>35.835393073117096</v>
      </c>
      <c r="D23" s="784">
        <v>15.556528191061815</v>
      </c>
      <c r="E23" s="784">
        <v>14.264573941726223</v>
      </c>
      <c r="F23" s="784">
        <v>32.84603186846455</v>
      </c>
      <c r="G23" s="784">
        <v>22.843849003724493</v>
      </c>
      <c r="H23" s="489"/>
      <c r="I23" s="489"/>
    </row>
    <row r="24" spans="1:9" ht="15.95" customHeight="1">
      <c r="A24" s="490">
        <v>2003</v>
      </c>
      <c r="B24" s="491">
        <v>25.559231359453936</v>
      </c>
      <c r="C24" s="491">
        <v>69.405019596562511</v>
      </c>
      <c r="D24" s="491">
        <v>14.970329818869967</v>
      </c>
      <c r="E24" s="491">
        <v>14.905012405163427</v>
      </c>
      <c r="F24" s="491">
        <v>31.689093532167696</v>
      </c>
      <c r="G24" s="491">
        <v>25.692157857463485</v>
      </c>
      <c r="H24" s="489"/>
      <c r="I24" s="489"/>
    </row>
    <row r="25" spans="1:9" ht="15.95" customHeight="1">
      <c r="A25" s="783">
        <v>2004</v>
      </c>
      <c r="B25" s="784">
        <v>23.314277128473694</v>
      </c>
      <c r="C25" s="784">
        <v>46.703861861431548</v>
      </c>
      <c r="D25" s="784">
        <v>15.66032045515459</v>
      </c>
      <c r="E25" s="784">
        <v>14.16986100164792</v>
      </c>
      <c r="F25" s="784">
        <v>33.018514975716876</v>
      </c>
      <c r="G25" s="784">
        <v>23.500726629991693</v>
      </c>
      <c r="H25" s="489"/>
      <c r="I25" s="489"/>
    </row>
    <row r="26" spans="1:9" ht="15.95" customHeight="1">
      <c r="A26" s="490">
        <v>2005</v>
      </c>
      <c r="B26" s="491">
        <v>29.684204475595656</v>
      </c>
      <c r="C26" s="491">
        <v>39.608762169680112</v>
      </c>
      <c r="D26" s="491">
        <v>17.132062881657223</v>
      </c>
      <c r="E26" s="491">
        <v>13.654302628294284</v>
      </c>
      <c r="F26" s="491">
        <v>37.491957308639549</v>
      </c>
      <c r="G26" s="491">
        <v>22.163147616336566</v>
      </c>
      <c r="H26" s="489"/>
      <c r="I26" s="489"/>
    </row>
    <row r="27" spans="1:9" ht="15.95" customHeight="1">
      <c r="A27" s="783">
        <v>2006</v>
      </c>
      <c r="B27" s="784">
        <v>38.115856777738891</v>
      </c>
      <c r="C27" s="784">
        <v>53.662395327563154</v>
      </c>
      <c r="D27" s="784">
        <v>17.189131779577558</v>
      </c>
      <c r="E27" s="784">
        <v>13.248599676307084</v>
      </c>
      <c r="F27" s="784">
        <v>51.909995143191857</v>
      </c>
      <c r="G27" s="784">
        <v>36.899855814036862</v>
      </c>
      <c r="H27" s="489"/>
      <c r="I27" s="489"/>
    </row>
    <row r="28" spans="1:9" ht="15.95" customHeight="1">
      <c r="A28" s="490">
        <v>2007</v>
      </c>
      <c r="B28" s="491">
        <v>30.051646070703249</v>
      </c>
      <c r="C28" s="491">
        <v>46.836563285256965</v>
      </c>
      <c r="D28" s="491">
        <v>17.542387830451069</v>
      </c>
      <c r="E28" s="491">
        <v>13.942046745378818</v>
      </c>
      <c r="F28" s="491">
        <v>46.648073393605998</v>
      </c>
      <c r="G28" s="491">
        <v>29.872027828647255</v>
      </c>
      <c r="H28" s="489"/>
      <c r="I28" s="489"/>
    </row>
    <row r="29" spans="1:9" ht="15.95" customHeight="1">
      <c r="A29" s="783">
        <v>2008</v>
      </c>
      <c r="B29" s="784">
        <v>39.824900499168059</v>
      </c>
      <c r="C29" s="784">
        <v>54.756605657237941</v>
      </c>
      <c r="D29" s="784">
        <v>26.365545198038546</v>
      </c>
      <c r="E29" s="784">
        <v>15.373970049916808</v>
      </c>
      <c r="F29" s="784">
        <v>62.507029138020236</v>
      </c>
      <c r="G29" s="784">
        <v>43.863251026862208</v>
      </c>
      <c r="H29" s="489"/>
      <c r="I29" s="489"/>
    </row>
    <row r="30" spans="1:9" ht="15.95" customHeight="1">
      <c r="A30" s="490">
        <v>2009</v>
      </c>
      <c r="B30" s="491">
        <v>31.078947995050335</v>
      </c>
      <c r="C30" s="491">
        <v>57.145981739741153</v>
      </c>
      <c r="D30" s="491">
        <v>21.835689034837895</v>
      </c>
      <c r="E30" s="491">
        <v>18.625357011471191</v>
      </c>
      <c r="F30" s="491">
        <v>46.728938258396767</v>
      </c>
      <c r="G30" s="491">
        <v>36.625621083286255</v>
      </c>
      <c r="H30" s="489"/>
      <c r="I30" s="489"/>
    </row>
    <row r="31" spans="1:9" ht="15.95" customHeight="1">
      <c r="A31" s="783">
        <v>2010</v>
      </c>
      <c r="B31" s="784">
        <v>35.464598141964487</v>
      </c>
      <c r="C31" s="784">
        <v>66.953813601348884</v>
      </c>
      <c r="D31" s="784"/>
      <c r="E31" s="784">
        <v>20.923066750421526</v>
      </c>
      <c r="F31" s="784">
        <v>55.059523288409515</v>
      </c>
      <c r="G31" s="784">
        <v>48.587296429529204</v>
      </c>
      <c r="H31" s="489"/>
      <c r="I31" s="489"/>
    </row>
    <row r="32" spans="1:9" ht="15.95" customHeight="1">
      <c r="A32" s="490">
        <v>2011</v>
      </c>
      <c r="B32" s="491">
        <v>35.561924027871434</v>
      </c>
      <c r="C32" s="491">
        <v>60.963298333493888</v>
      </c>
      <c r="D32" s="491"/>
      <c r="E32" s="491">
        <v>20.219493947275474</v>
      </c>
      <c r="F32" s="491">
        <v>63.044423995196752</v>
      </c>
      <c r="G32" s="491">
        <v>55.030420821763293</v>
      </c>
      <c r="H32" s="489"/>
      <c r="I32" s="489"/>
    </row>
    <row r="33" spans="1:10" ht="15.95" customHeight="1">
      <c r="A33" s="783">
        <v>2012</v>
      </c>
      <c r="B33" s="784">
        <v>35.651247612985358</v>
      </c>
      <c r="C33" s="784">
        <v>48.340674729471672</v>
      </c>
      <c r="D33" s="784"/>
      <c r="E33" s="784">
        <v>19.034140674729475</v>
      </c>
      <c r="F33" s="784">
        <v>74.145647556688601</v>
      </c>
      <c r="G33" s="784">
        <v>65.068200663250153</v>
      </c>
      <c r="H33" s="489"/>
      <c r="I33" s="489"/>
    </row>
    <row r="34" spans="1:10" ht="15.95" customHeight="1">
      <c r="A34" s="490">
        <v>2013</v>
      </c>
      <c r="B34" s="491">
        <v>34.055065910972424</v>
      </c>
      <c r="C34" s="491">
        <v>47.284652980322221</v>
      </c>
      <c r="D34" s="491"/>
      <c r="E34" s="491">
        <v>19.848662675921801</v>
      </c>
      <c r="F34" s="491">
        <v>70.467486448353327</v>
      </c>
      <c r="G34" s="491">
        <v>59.795684291841212</v>
      </c>
      <c r="H34" s="489"/>
      <c r="I34" s="489"/>
    </row>
    <row r="35" spans="1:10" ht="15.95" customHeight="1">
      <c r="A35" s="783">
        <v>2014</v>
      </c>
      <c r="B35" s="784">
        <v>30.382286516316313</v>
      </c>
      <c r="C35" s="784">
        <v>44.412644741459061</v>
      </c>
      <c r="D35" s="784"/>
      <c r="E35" s="784">
        <v>19.077249673035826</v>
      </c>
      <c r="F35" s="784">
        <v>69.396532696978795</v>
      </c>
      <c r="G35" s="784">
        <v>60.526443712142239</v>
      </c>
      <c r="H35" s="489"/>
      <c r="I35" s="489"/>
    </row>
    <row r="36" spans="1:10" ht="15.95" customHeight="1">
      <c r="A36" s="490">
        <v>2015</v>
      </c>
      <c r="B36" s="491">
        <v>31.001758417105474</v>
      </c>
      <c r="C36" s="491">
        <v>38.373512047231529</v>
      </c>
      <c r="D36" s="491"/>
      <c r="E36" s="491">
        <v>18.479875538535186</v>
      </c>
      <c r="F36" s="491">
        <v>65.142614236011724</v>
      </c>
      <c r="G36" s="491">
        <v>52.83755049026572</v>
      </c>
      <c r="H36" s="489"/>
      <c r="I36" s="489"/>
    </row>
    <row r="37" spans="1:10" ht="15.95" customHeight="1">
      <c r="A37" s="490"/>
      <c r="B37" s="491"/>
      <c r="C37" s="491"/>
      <c r="D37" s="491"/>
      <c r="E37" s="491"/>
      <c r="F37" s="491"/>
      <c r="G37" s="491"/>
      <c r="H37" s="489"/>
      <c r="I37" s="489"/>
    </row>
    <row r="38" spans="1:10" ht="15.95" customHeight="1">
      <c r="A38" s="493" t="s">
        <v>537</v>
      </c>
      <c r="B38" s="492"/>
      <c r="C38" s="492"/>
      <c r="D38" s="492"/>
      <c r="E38" s="492"/>
      <c r="F38" s="492"/>
      <c r="G38" s="492"/>
      <c r="H38" s="489"/>
      <c r="I38" s="489"/>
      <c r="J38" s="169"/>
    </row>
    <row r="39" spans="1:10">
      <c r="A39" s="493" t="s">
        <v>492</v>
      </c>
      <c r="B39" s="493"/>
      <c r="C39" s="493"/>
      <c r="D39" s="493"/>
      <c r="E39" s="493"/>
      <c r="F39" s="493"/>
      <c r="G39" s="493"/>
      <c r="H39" s="493"/>
      <c r="I39" s="493"/>
    </row>
    <row r="40" spans="1:10">
      <c r="A40" s="493" t="s">
        <v>497</v>
      </c>
    </row>
    <row r="41" spans="1:10">
      <c r="A41" s="493" t="s">
        <v>536</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tabColor theme="6" tint="0.39997558519241921"/>
  </sheetPr>
  <dimension ref="A1:J57"/>
  <sheetViews>
    <sheetView zoomScaleNormal="100" workbookViewId="0">
      <pane ySplit="6" topLeftCell="A7" activePane="bottomLeft" state="frozen"/>
      <selection pane="bottomLeft" activeCell="C1" sqref="C1"/>
    </sheetView>
  </sheetViews>
  <sheetFormatPr defaultColWidth="8.265625" defaultRowHeight="13.15"/>
  <cols>
    <col min="1" max="1" width="8.59765625" style="105" customWidth="1"/>
    <col min="2" max="9" width="12.73046875" style="104" customWidth="1"/>
    <col min="10" max="10" width="8.265625" style="618" customWidth="1"/>
    <col min="11" max="16384" width="8.265625" style="98"/>
  </cols>
  <sheetData>
    <row r="1" spans="1:10" ht="15.95" customHeight="1">
      <c r="A1" s="524" t="str">
        <f>IF(språk=lista[[#Headers],[Svenska]],"Innehåll",IF(språk=lista[[#Headers],[English]],"Contents","FEL"))</f>
        <v>Contents</v>
      </c>
    </row>
    <row r="2" spans="1:10" ht="15.95" customHeight="1"/>
    <row r="3" spans="1:10" ht="15.95" customHeight="1">
      <c r="A3" s="414" t="str">
        <f>IFERROR(INDEX(lista[],MATCH($A5,lista[ID],0),MATCH(språk,lista[#Headers],0)),"")</f>
        <v>Final energy use in the transport sector (domestic), from 1970, TWh</v>
      </c>
      <c r="B3" s="414"/>
      <c r="C3" s="414"/>
      <c r="D3" s="414"/>
      <c r="E3" s="414"/>
      <c r="F3" s="414"/>
      <c r="G3" s="414"/>
      <c r="H3" s="414"/>
      <c r="I3" s="414"/>
      <c r="J3" s="414"/>
    </row>
    <row r="4" spans="1:10" ht="15.95" customHeight="1">
      <c r="A4" s="414"/>
      <c r="B4" s="414"/>
      <c r="C4" s="414"/>
      <c r="D4" s="414"/>
      <c r="E4" s="414"/>
      <c r="F4" s="414"/>
      <c r="G4" s="414"/>
      <c r="H4" s="414"/>
      <c r="I4" s="414"/>
      <c r="J4" s="414"/>
    </row>
    <row r="5" spans="1:10" ht="15.95" hidden="1" customHeight="1">
      <c r="A5" s="414">
        <v>29</v>
      </c>
      <c r="B5" s="414" t="s">
        <v>647</v>
      </c>
      <c r="C5" s="414" t="s">
        <v>648</v>
      </c>
      <c r="D5" s="414" t="s">
        <v>649</v>
      </c>
      <c r="E5" s="414" t="s">
        <v>650</v>
      </c>
      <c r="F5" s="414" t="s">
        <v>651</v>
      </c>
      <c r="G5" s="414" t="s">
        <v>652</v>
      </c>
      <c r="H5" s="414" t="s">
        <v>653</v>
      </c>
      <c r="I5" s="414" t="s">
        <v>654</v>
      </c>
      <c r="J5" s="414"/>
    </row>
    <row r="6" spans="1:10" ht="26.1" customHeight="1">
      <c r="A6" s="232"/>
      <c r="B6" s="233" t="str">
        <f>IFERROR(INDEX(_5.1[],MATCH(språk,_5.1[[id]:[id]],0),MATCH(B$5,_5.1[#Headers],0)),"")</f>
        <v>Petrol</v>
      </c>
      <c r="C6" s="233" t="str">
        <f>IFERROR(INDEX(_5.1[],MATCH(språk,_5.1[[id]:[id]],0),MATCH(C$5,_5.1[#Headers],0)),"")</f>
        <v>Diesel</v>
      </c>
      <c r="D6" s="233" t="str">
        <f>IFERROR(INDEX(_5.1[],MATCH(språk,_5.1[[id]:[id]],0),MATCH(D$5,_5.1[#Headers],0)),"")</f>
        <v>Light fuel oil</v>
      </c>
      <c r="E6" s="233" t="str">
        <f>IFERROR(INDEX(_5.1[],MATCH(språk,_5.1[[id]:[id]],0),MATCH(E$5,_5.1[#Headers],0)),"")</f>
        <v>Heavy fuel oil</v>
      </c>
      <c r="F6" s="233" t="str">
        <f>IFERROR(INDEX(_5.1[],MATCH(språk,_5.1[[id]:[id]],0),MATCH(F$5,_5.1[#Headers],0)),"")</f>
        <v>Aviation fuel</v>
      </c>
      <c r="G6" s="233" t="str">
        <f>IFERROR(INDEX(_5.1[],MATCH(språk,_5.1[[id]:[id]],0),MATCH(G$5,_5.1[#Headers],0)),"")</f>
        <v>Natural gas</v>
      </c>
      <c r="H6" s="233" t="str">
        <f>IFERROR(INDEX(_5.1[],MATCH(språk,_5.1[[id]:[id]],0),MATCH(H$5,_5.1[#Headers],0)),"")</f>
        <v>Biofuels</v>
      </c>
      <c r="I6" s="233" t="str">
        <f>IFERROR(INDEX(_5.1[],MATCH(språk,_5.1[[id]:[id]],0),MATCH(I$5,_5.1[#Headers],0)),"")</f>
        <v>Electricity</v>
      </c>
      <c r="J6" s="235" t="str">
        <f>IF(språk=lista[[#Headers],[Svenska]],"Totalt",IF(språk=lista[[#Headers],[English]],"Total","FEL"))</f>
        <v>Total</v>
      </c>
    </row>
    <row r="7" spans="1:10" ht="15.95" customHeight="1">
      <c r="A7" s="785">
        <v>1970</v>
      </c>
      <c r="B7" s="786">
        <v>33</v>
      </c>
      <c r="C7" s="786">
        <v>14.3</v>
      </c>
      <c r="D7" s="786"/>
      <c r="E7" s="786">
        <v>1</v>
      </c>
      <c r="F7" s="786">
        <v>6</v>
      </c>
      <c r="G7" s="786"/>
      <c r="H7" s="786"/>
      <c r="I7" s="786">
        <v>2.1</v>
      </c>
      <c r="J7" s="787">
        <v>56.4</v>
      </c>
    </row>
    <row r="8" spans="1:10" ht="15.95" customHeight="1">
      <c r="A8" s="99">
        <v>1971</v>
      </c>
      <c r="B8" s="100">
        <v>33.700000000000003</v>
      </c>
      <c r="C8" s="100">
        <v>14</v>
      </c>
      <c r="D8" s="100"/>
      <c r="E8" s="100">
        <v>0.5</v>
      </c>
      <c r="F8" s="100">
        <v>5.8</v>
      </c>
      <c r="G8" s="100"/>
      <c r="H8" s="100"/>
      <c r="I8" s="100">
        <v>1.9</v>
      </c>
      <c r="J8" s="506">
        <v>55.9</v>
      </c>
    </row>
    <row r="9" spans="1:10" ht="15.95" customHeight="1">
      <c r="A9" s="785">
        <v>1972</v>
      </c>
      <c r="B9" s="786">
        <v>35.1</v>
      </c>
      <c r="C9" s="786">
        <v>14.3</v>
      </c>
      <c r="D9" s="786"/>
      <c r="E9" s="786">
        <v>0.2</v>
      </c>
      <c r="F9" s="786">
        <v>6.6</v>
      </c>
      <c r="G9" s="786"/>
      <c r="H9" s="786"/>
      <c r="I9" s="786">
        <v>2</v>
      </c>
      <c r="J9" s="787">
        <v>58.20000000000001</v>
      </c>
    </row>
    <row r="10" spans="1:10" ht="15.95" customHeight="1">
      <c r="A10" s="99">
        <v>1973</v>
      </c>
      <c r="B10" s="100">
        <v>37.1</v>
      </c>
      <c r="C10" s="100">
        <v>15.1</v>
      </c>
      <c r="D10" s="100"/>
      <c r="E10" s="100">
        <v>0.3</v>
      </c>
      <c r="F10" s="100">
        <v>7</v>
      </c>
      <c r="G10" s="100"/>
      <c r="H10" s="100"/>
      <c r="I10" s="100">
        <v>2.1</v>
      </c>
      <c r="J10" s="506">
        <v>61.6</v>
      </c>
    </row>
    <row r="11" spans="1:10" ht="15.95" customHeight="1">
      <c r="A11" s="785">
        <v>1974</v>
      </c>
      <c r="B11" s="786">
        <v>34.200000000000003</v>
      </c>
      <c r="C11" s="786">
        <v>15.3</v>
      </c>
      <c r="D11" s="786"/>
      <c r="E11" s="786">
        <v>0.3</v>
      </c>
      <c r="F11" s="786">
        <v>6.2</v>
      </c>
      <c r="G11" s="786"/>
      <c r="H11" s="786"/>
      <c r="I11" s="786">
        <v>2.1</v>
      </c>
      <c r="J11" s="787">
        <v>58.1</v>
      </c>
    </row>
    <row r="12" spans="1:10" ht="15.95" customHeight="1">
      <c r="A12" s="99">
        <v>1975</v>
      </c>
      <c r="B12" s="100">
        <v>38.200000000000003</v>
      </c>
      <c r="C12" s="100">
        <v>15.7</v>
      </c>
      <c r="D12" s="100"/>
      <c r="E12" s="100">
        <v>0.3</v>
      </c>
      <c r="F12" s="100">
        <v>6.1</v>
      </c>
      <c r="G12" s="100"/>
      <c r="H12" s="100"/>
      <c r="I12" s="100">
        <v>2</v>
      </c>
      <c r="J12" s="506">
        <v>62.300000000000004</v>
      </c>
    </row>
    <row r="13" spans="1:10" ht="15.95" customHeight="1">
      <c r="A13" s="785">
        <v>1976</v>
      </c>
      <c r="B13" s="786">
        <v>40.4</v>
      </c>
      <c r="C13" s="786">
        <v>17.8</v>
      </c>
      <c r="D13" s="786"/>
      <c r="E13" s="786">
        <v>0.4</v>
      </c>
      <c r="F13" s="786">
        <v>6.4</v>
      </c>
      <c r="G13" s="786"/>
      <c r="H13" s="786"/>
      <c r="I13" s="786">
        <v>2.1</v>
      </c>
      <c r="J13" s="787">
        <v>67.099999999999994</v>
      </c>
    </row>
    <row r="14" spans="1:10" ht="15.95" customHeight="1">
      <c r="A14" s="99">
        <v>1977</v>
      </c>
      <c r="B14" s="100">
        <v>42</v>
      </c>
      <c r="C14" s="100">
        <v>18.600000000000001</v>
      </c>
      <c r="D14" s="100"/>
      <c r="E14" s="100">
        <v>0.3</v>
      </c>
      <c r="F14" s="100">
        <v>6.7</v>
      </c>
      <c r="G14" s="100"/>
      <c r="H14" s="100"/>
      <c r="I14" s="100">
        <v>2.1</v>
      </c>
      <c r="J14" s="506">
        <v>69.699999999999989</v>
      </c>
    </row>
    <row r="15" spans="1:10" ht="15.95" customHeight="1">
      <c r="A15" s="785">
        <v>1978</v>
      </c>
      <c r="B15" s="786">
        <v>43.1</v>
      </c>
      <c r="C15" s="786">
        <v>18.100000000000001</v>
      </c>
      <c r="D15" s="786"/>
      <c r="E15" s="786">
        <v>0.3</v>
      </c>
      <c r="F15" s="786">
        <v>6.9</v>
      </c>
      <c r="G15" s="786"/>
      <c r="H15" s="786"/>
      <c r="I15" s="786">
        <v>2.2000000000000002</v>
      </c>
      <c r="J15" s="787">
        <v>70.600000000000009</v>
      </c>
    </row>
    <row r="16" spans="1:10" ht="15.95" customHeight="1">
      <c r="A16" s="99">
        <v>1979</v>
      </c>
      <c r="B16" s="100">
        <v>42.9</v>
      </c>
      <c r="C16" s="100">
        <v>18.8</v>
      </c>
      <c r="D16" s="100"/>
      <c r="E16" s="100">
        <v>0.4</v>
      </c>
      <c r="F16" s="100">
        <v>6.6</v>
      </c>
      <c r="G16" s="100"/>
      <c r="H16" s="100"/>
      <c r="I16" s="100">
        <v>2.2999999999999998</v>
      </c>
      <c r="J16" s="506">
        <v>71</v>
      </c>
    </row>
    <row r="17" spans="1:10" ht="15.95" customHeight="1">
      <c r="A17" s="785">
        <v>1980</v>
      </c>
      <c r="B17" s="786">
        <v>41.4</v>
      </c>
      <c r="C17" s="786">
        <v>17.2</v>
      </c>
      <c r="D17" s="786"/>
      <c r="E17" s="786">
        <v>0.7</v>
      </c>
      <c r="F17" s="786">
        <v>6.5</v>
      </c>
      <c r="G17" s="786"/>
      <c r="H17" s="786"/>
      <c r="I17" s="786">
        <v>2.2999999999999998</v>
      </c>
      <c r="J17" s="787">
        <v>68.099999999999994</v>
      </c>
    </row>
    <row r="18" spans="1:10" ht="15.95" customHeight="1">
      <c r="A18" s="99">
        <v>1981</v>
      </c>
      <c r="B18" s="100">
        <v>40.799999999999997</v>
      </c>
      <c r="C18" s="100">
        <v>16.7</v>
      </c>
      <c r="D18" s="100"/>
      <c r="E18" s="100">
        <v>0.5</v>
      </c>
      <c r="F18" s="100">
        <v>6.8</v>
      </c>
      <c r="G18" s="100"/>
      <c r="H18" s="100"/>
      <c r="I18" s="100">
        <v>2.2999999999999998</v>
      </c>
      <c r="J18" s="506">
        <v>67.099999999999994</v>
      </c>
    </row>
    <row r="19" spans="1:10" ht="15.95" customHeight="1">
      <c r="A19" s="785">
        <v>1982</v>
      </c>
      <c r="B19" s="786">
        <v>41.1</v>
      </c>
      <c r="C19" s="786">
        <v>16.5</v>
      </c>
      <c r="D19" s="786"/>
      <c r="E19" s="786">
        <v>0.6</v>
      </c>
      <c r="F19" s="786">
        <v>7</v>
      </c>
      <c r="G19" s="786"/>
      <c r="H19" s="786"/>
      <c r="I19" s="786">
        <v>2.2999999999999998</v>
      </c>
      <c r="J19" s="787">
        <v>67.5</v>
      </c>
    </row>
    <row r="20" spans="1:10" ht="15.95" customHeight="1">
      <c r="A20" s="99">
        <v>1983</v>
      </c>
      <c r="B20" s="100">
        <v>41.841944444444444</v>
      </c>
      <c r="C20" s="100">
        <v>18.45611111111111</v>
      </c>
      <c r="D20" s="100">
        <v>0.70194444444444448</v>
      </c>
      <c r="E20" s="100">
        <v>1.1030555555555555</v>
      </c>
      <c r="F20" s="100">
        <v>6.2938888888888886</v>
      </c>
      <c r="G20" s="100">
        <v>0.11527777777777777</v>
      </c>
      <c r="H20" s="100"/>
      <c r="I20" s="100">
        <v>2.355</v>
      </c>
      <c r="J20" s="506">
        <v>70.867222222222225</v>
      </c>
    </row>
    <row r="21" spans="1:10" ht="15.95" customHeight="1">
      <c r="A21" s="785">
        <v>1984</v>
      </c>
      <c r="B21" s="786">
        <v>43.490555555555552</v>
      </c>
      <c r="C21" s="786">
        <v>19.286666666666669</v>
      </c>
      <c r="D21" s="786">
        <v>0.87</v>
      </c>
      <c r="E21" s="786">
        <v>1.6225000000000001</v>
      </c>
      <c r="F21" s="786">
        <v>6.7125000000000004</v>
      </c>
      <c r="G21" s="786">
        <v>0.12805555555555553</v>
      </c>
      <c r="H21" s="786"/>
      <c r="I21" s="786">
        <v>2.4619444444444443</v>
      </c>
      <c r="J21" s="787">
        <v>74.572222222222223</v>
      </c>
    </row>
    <row r="22" spans="1:10" ht="15.95" customHeight="1">
      <c r="A22" s="99">
        <v>1985</v>
      </c>
      <c r="B22" s="100">
        <v>43.865833333333335</v>
      </c>
      <c r="C22" s="100">
        <v>19.919444444444444</v>
      </c>
      <c r="D22" s="100">
        <v>0.91944444444444451</v>
      </c>
      <c r="E22" s="100">
        <v>1.8172222222222221</v>
      </c>
      <c r="F22" s="100">
        <v>6.4138888888888888</v>
      </c>
      <c r="G22" s="100">
        <v>0.11527777777777777</v>
      </c>
      <c r="H22" s="100"/>
      <c r="I22" s="100">
        <v>2.6188888888888888</v>
      </c>
      <c r="J22" s="506">
        <v>75.670000000000016</v>
      </c>
    </row>
    <row r="23" spans="1:10" ht="15.95" customHeight="1">
      <c r="A23" s="785">
        <v>1986</v>
      </c>
      <c r="B23" s="786">
        <v>46.054722222222217</v>
      </c>
      <c r="C23" s="786">
        <v>20.047777777777778</v>
      </c>
      <c r="D23" s="786">
        <v>0.85</v>
      </c>
      <c r="E23" s="786">
        <v>1.7413888888888889</v>
      </c>
      <c r="F23" s="786">
        <v>7.5944444444444441</v>
      </c>
      <c r="G23" s="786">
        <v>7.6666666666666675E-2</v>
      </c>
      <c r="H23" s="786"/>
      <c r="I23" s="786">
        <v>2.6150000000000002</v>
      </c>
      <c r="J23" s="787">
        <v>78.97999999999999</v>
      </c>
    </row>
    <row r="24" spans="1:10" ht="15.95" customHeight="1">
      <c r="A24" s="99">
        <v>1987</v>
      </c>
      <c r="B24" s="100">
        <v>47.93888888888889</v>
      </c>
      <c r="C24" s="100">
        <v>20.354166666666668</v>
      </c>
      <c r="D24" s="100">
        <v>1.1566666666666667</v>
      </c>
      <c r="E24" s="100">
        <v>1.2113888888888888</v>
      </c>
      <c r="F24" s="100">
        <v>8.0250000000000004</v>
      </c>
      <c r="G24" s="100">
        <v>6.3888888888888884E-2</v>
      </c>
      <c r="H24" s="100"/>
      <c r="I24" s="100">
        <v>2.6319444444444442</v>
      </c>
      <c r="J24" s="506">
        <v>81.381944444444443</v>
      </c>
    </row>
    <row r="25" spans="1:10" ht="15.95" customHeight="1">
      <c r="A25" s="785">
        <v>1988</v>
      </c>
      <c r="B25" s="786">
        <v>49.726944444444442</v>
      </c>
      <c r="C25" s="786">
        <v>21.402222222222221</v>
      </c>
      <c r="D25" s="786">
        <v>1.2555555555555555</v>
      </c>
      <c r="E25" s="786">
        <v>1.1355555555555554</v>
      </c>
      <c r="F25" s="786">
        <v>8.9152777777777779</v>
      </c>
      <c r="G25" s="786">
        <v>5.1111111111111107E-2</v>
      </c>
      <c r="H25" s="786"/>
      <c r="I25" s="786">
        <v>2.6080555555555556</v>
      </c>
      <c r="J25" s="787">
        <v>85.094722222222217</v>
      </c>
    </row>
    <row r="26" spans="1:10" ht="15.95" customHeight="1">
      <c r="A26" s="99">
        <v>1989</v>
      </c>
      <c r="B26" s="100">
        <v>51.532499999999999</v>
      </c>
      <c r="C26" s="100">
        <v>20.571666666666669</v>
      </c>
      <c r="D26" s="100">
        <v>0.79083333333333328</v>
      </c>
      <c r="E26" s="100">
        <v>1.0708333333333333</v>
      </c>
      <c r="F26" s="100">
        <v>9.8772222222222226</v>
      </c>
      <c r="G26" s="100">
        <v>3.8333333333333337E-2</v>
      </c>
      <c r="H26" s="100"/>
      <c r="I26" s="100">
        <v>2.5099999999999998</v>
      </c>
      <c r="J26" s="506">
        <v>86.391388888888898</v>
      </c>
    </row>
    <row r="27" spans="1:10" ht="15.95" customHeight="1">
      <c r="A27" s="785">
        <v>1990</v>
      </c>
      <c r="B27" s="786">
        <v>48.750277777777775</v>
      </c>
      <c r="C27" s="786">
        <v>20.285</v>
      </c>
      <c r="D27" s="786">
        <v>0.94888888888888889</v>
      </c>
      <c r="E27" s="786">
        <v>0.69222222222222218</v>
      </c>
      <c r="F27" s="786">
        <v>3.44379218533664</v>
      </c>
      <c r="G27" s="786">
        <v>2.5555555555555554E-2</v>
      </c>
      <c r="H27" s="786"/>
      <c r="I27" s="786">
        <v>2.4750000000000001</v>
      </c>
      <c r="J27" s="787">
        <v>76.620736629781078</v>
      </c>
    </row>
    <row r="28" spans="1:10" ht="15.95" customHeight="1">
      <c r="A28" s="99">
        <v>1991</v>
      </c>
      <c r="B28" s="100">
        <v>49.814444444444447</v>
      </c>
      <c r="C28" s="100">
        <v>19.010000000000002</v>
      </c>
      <c r="D28" s="100">
        <v>0.59305555555555556</v>
      </c>
      <c r="E28" s="100">
        <v>0.5625</v>
      </c>
      <c r="F28" s="100">
        <v>3.2303770197643513</v>
      </c>
      <c r="G28" s="100">
        <v>1.2777777777777777E-2</v>
      </c>
      <c r="H28" s="100"/>
      <c r="I28" s="100">
        <v>2.4030555555555555</v>
      </c>
      <c r="J28" s="506">
        <v>75.626210353097676</v>
      </c>
    </row>
    <row r="29" spans="1:10" ht="15.95" customHeight="1">
      <c r="A29" s="785">
        <v>1992</v>
      </c>
      <c r="B29" s="786">
        <v>50.922222222222217</v>
      </c>
      <c r="C29" s="786">
        <v>18.466111111111111</v>
      </c>
      <c r="D29" s="786">
        <v>0.56361111111111106</v>
      </c>
      <c r="E29" s="786">
        <v>0.48666666666666664</v>
      </c>
      <c r="F29" s="786">
        <v>3.953751425319906</v>
      </c>
      <c r="G29" s="786">
        <v>2.361111111111111E-2</v>
      </c>
      <c r="H29" s="786"/>
      <c r="I29" s="786">
        <v>2.4719444444444445</v>
      </c>
      <c r="J29" s="787">
        <v>76.887918091986563</v>
      </c>
    </row>
    <row r="30" spans="1:10" ht="15.95" customHeight="1">
      <c r="A30" s="99">
        <v>1993</v>
      </c>
      <c r="B30" s="100">
        <v>48.392499999999998</v>
      </c>
      <c r="C30" s="100">
        <v>18.693333333333332</v>
      </c>
      <c r="D30" s="100">
        <v>0.44472222222222224</v>
      </c>
      <c r="E30" s="100">
        <v>0.30277777777777776</v>
      </c>
      <c r="F30" s="100">
        <v>3.1059664831594644</v>
      </c>
      <c r="G30" s="100">
        <v>3.2222222222222222E-2</v>
      </c>
      <c r="H30" s="100"/>
      <c r="I30" s="100">
        <v>2.34</v>
      </c>
      <c r="J30" s="506">
        <v>73.311522038715012</v>
      </c>
    </row>
    <row r="31" spans="1:10" ht="15.95" customHeight="1">
      <c r="A31" s="785">
        <v>1994</v>
      </c>
      <c r="B31" s="786">
        <v>48.950555555555553</v>
      </c>
      <c r="C31" s="786">
        <v>19.71166666666667</v>
      </c>
      <c r="D31" s="786">
        <v>0.47444444444444445</v>
      </c>
      <c r="E31" s="786">
        <v>0.21638888888888888</v>
      </c>
      <c r="F31" s="786">
        <v>3.0596113267922749</v>
      </c>
      <c r="G31" s="786">
        <v>2.2499999999999999E-2</v>
      </c>
      <c r="H31" s="786"/>
      <c r="I31" s="786">
        <v>2.4688888888888885</v>
      </c>
      <c r="J31" s="787">
        <v>74.904055771236713</v>
      </c>
    </row>
    <row r="32" spans="1:10" ht="15.95" customHeight="1">
      <c r="A32" s="99">
        <v>1995</v>
      </c>
      <c r="B32" s="100">
        <v>49.910277777777772</v>
      </c>
      <c r="C32" s="100">
        <v>20.205833333333331</v>
      </c>
      <c r="D32" s="100">
        <v>0.58333333333333337</v>
      </c>
      <c r="E32" s="100">
        <v>0.19472222222222224</v>
      </c>
      <c r="F32" s="100">
        <v>2.9832704421296894</v>
      </c>
      <c r="G32" s="100">
        <v>3.2222222222222222E-2</v>
      </c>
      <c r="H32" s="100"/>
      <c r="I32" s="100">
        <v>2.7180555555555554</v>
      </c>
      <c r="J32" s="506">
        <v>76.627714886574125</v>
      </c>
    </row>
    <row r="33" spans="1:10" ht="15.95" customHeight="1">
      <c r="A33" s="785">
        <v>1996</v>
      </c>
      <c r="B33" s="786">
        <v>49.334444444444443</v>
      </c>
      <c r="C33" s="786">
        <v>20.295000000000002</v>
      </c>
      <c r="D33" s="786">
        <v>0.73138888888888887</v>
      </c>
      <c r="E33" s="786">
        <v>0.11888888888888889</v>
      </c>
      <c r="F33" s="786">
        <v>2.8600649121670996</v>
      </c>
      <c r="G33" s="786">
        <v>5.1666666666666666E-2</v>
      </c>
      <c r="H33" s="786">
        <v>9.2150000000000001E-4</v>
      </c>
      <c r="I33" s="786">
        <v>3.0680555555555555</v>
      </c>
      <c r="J33" s="787">
        <v>76.460430856611552</v>
      </c>
    </row>
    <row r="34" spans="1:10" ht="15.95" customHeight="1">
      <c r="A34" s="99">
        <v>1997</v>
      </c>
      <c r="B34" s="100">
        <v>48.322777777777773</v>
      </c>
      <c r="C34" s="100">
        <v>20.73</v>
      </c>
      <c r="D34" s="100">
        <v>0.74138888888888888</v>
      </c>
      <c r="E34" s="100">
        <v>0.35694444444444445</v>
      </c>
      <c r="F34" s="100">
        <v>2.9959010404488273</v>
      </c>
      <c r="G34" s="100">
        <v>7.7777777777777765E-2</v>
      </c>
      <c r="H34" s="100">
        <v>1.0863999999999999E-2</v>
      </c>
      <c r="I34" s="100">
        <v>2.9538888888888888</v>
      </c>
      <c r="J34" s="506">
        <v>76.189542818226613</v>
      </c>
    </row>
    <row r="35" spans="1:10" ht="15.95" customHeight="1">
      <c r="A35" s="785">
        <v>1998</v>
      </c>
      <c r="B35" s="786">
        <v>47.023055555555558</v>
      </c>
      <c r="C35" s="786">
        <v>25.356388888888887</v>
      </c>
      <c r="D35" s="786">
        <v>0.92916666666666659</v>
      </c>
      <c r="E35" s="786">
        <v>0.42194444444444446</v>
      </c>
      <c r="F35" s="786">
        <v>2.7467679063156223</v>
      </c>
      <c r="G35" s="786">
        <v>3.8888888888888883E-2</v>
      </c>
      <c r="H35" s="786">
        <v>0.17921359999999997</v>
      </c>
      <c r="I35" s="786">
        <v>2.7788888888888885</v>
      </c>
      <c r="J35" s="787">
        <v>79.474314839648954</v>
      </c>
    </row>
    <row r="36" spans="1:10" ht="15.95" customHeight="1">
      <c r="A36" s="99">
        <v>1999</v>
      </c>
      <c r="B36" s="100">
        <v>47.228611111111107</v>
      </c>
      <c r="C36" s="100">
        <v>25.675555555555555</v>
      </c>
      <c r="D36" s="100">
        <v>1.1369444444444443</v>
      </c>
      <c r="E36" s="100">
        <v>0.4433333333333333</v>
      </c>
      <c r="F36" s="100">
        <v>2.6326608432594094</v>
      </c>
      <c r="G36" s="100">
        <v>4.3611111111111107E-2</v>
      </c>
      <c r="H36" s="100">
        <v>0.19856589999999996</v>
      </c>
      <c r="I36" s="100">
        <v>3.016111111111111</v>
      </c>
      <c r="J36" s="506">
        <v>80.375393409926076</v>
      </c>
    </row>
    <row r="37" spans="1:10" ht="15.95" customHeight="1">
      <c r="A37" s="785">
        <v>2000</v>
      </c>
      <c r="B37" s="786">
        <v>46.534444444444446</v>
      </c>
      <c r="C37" s="786">
        <v>24.997222222222224</v>
      </c>
      <c r="D37" s="786">
        <v>1.131388888888889</v>
      </c>
      <c r="E37" s="786">
        <v>0.44611111111111107</v>
      </c>
      <c r="F37" s="786">
        <v>2.7136580472370722</v>
      </c>
      <c r="G37" s="786">
        <v>0.12499999999999999</v>
      </c>
      <c r="H37" s="786">
        <v>0.22937966666666665</v>
      </c>
      <c r="I37" s="786">
        <v>3.1949999999999998</v>
      </c>
      <c r="J37" s="787">
        <v>79.372204380570409</v>
      </c>
    </row>
    <row r="38" spans="1:10" ht="15.95" customHeight="1">
      <c r="A38" s="99">
        <v>2001</v>
      </c>
      <c r="B38" s="100">
        <v>48.450850799999998</v>
      </c>
      <c r="C38" s="100">
        <v>25.456245694444441</v>
      </c>
      <c r="D38" s="100">
        <v>1.1855555555555555</v>
      </c>
      <c r="E38" s="100">
        <v>0.48499999999999999</v>
      </c>
      <c r="F38" s="100">
        <v>2.5516108167896889</v>
      </c>
      <c r="G38" s="100">
        <v>0.12666666666666665</v>
      </c>
      <c r="H38" s="100">
        <v>0.31590943333333332</v>
      </c>
      <c r="I38" s="100">
        <v>2.8630555555555555</v>
      </c>
      <c r="J38" s="506">
        <v>81.434894522345232</v>
      </c>
    </row>
    <row r="39" spans="1:10" ht="15.95" customHeight="1">
      <c r="A39" s="785">
        <v>2002</v>
      </c>
      <c r="B39" s="786">
        <v>48.884982000000001</v>
      </c>
      <c r="C39" s="786">
        <v>29.142668749999999</v>
      </c>
      <c r="D39" s="786">
        <v>1.1263888888888889</v>
      </c>
      <c r="E39" s="786">
        <v>0.51611111111111108</v>
      </c>
      <c r="F39" s="786">
        <v>2.5253007068914028</v>
      </c>
      <c r="G39" s="786">
        <v>0.14583333333333331</v>
      </c>
      <c r="H39" s="786">
        <v>0.58026613333333321</v>
      </c>
      <c r="I39" s="786">
        <v>2.8680555555555558</v>
      </c>
      <c r="J39" s="787">
        <v>85.789606479113615</v>
      </c>
    </row>
    <row r="40" spans="1:10" ht="15.95" customHeight="1">
      <c r="A40" s="99">
        <v>2003</v>
      </c>
      <c r="B40" s="100">
        <v>48.563688734399996</v>
      </c>
      <c r="C40" s="100">
        <v>30.517604916666663</v>
      </c>
      <c r="D40" s="100">
        <v>1.0455555555555553</v>
      </c>
      <c r="E40" s="100">
        <v>0.7844444444444445</v>
      </c>
      <c r="F40" s="100">
        <v>2.4476259777080385</v>
      </c>
      <c r="G40" s="100">
        <v>0.22750000000000001</v>
      </c>
      <c r="H40" s="100">
        <v>1.0426552333333334</v>
      </c>
      <c r="I40" s="100">
        <v>2.8388888888888886</v>
      </c>
      <c r="J40" s="506">
        <v>87.46796375099693</v>
      </c>
    </row>
    <row r="41" spans="1:10" ht="15.95" customHeight="1">
      <c r="A41" s="785">
        <v>2004</v>
      </c>
      <c r="B41" s="786">
        <v>47.067057599999998</v>
      </c>
      <c r="C41" s="786">
        <v>33.815459055555557</v>
      </c>
      <c r="D41" s="786">
        <v>0.78055555555555556</v>
      </c>
      <c r="E41" s="786">
        <v>0.79833333333333323</v>
      </c>
      <c r="F41" s="786">
        <v>2.7474946607524231</v>
      </c>
      <c r="G41" s="786">
        <v>0.24027777777777778</v>
      </c>
      <c r="H41" s="786">
        <v>1.748731</v>
      </c>
      <c r="I41" s="786">
        <v>2.99</v>
      </c>
      <c r="J41" s="787">
        <v>90.187908982974633</v>
      </c>
    </row>
    <row r="42" spans="1:10" ht="15.95" customHeight="1">
      <c r="A42" s="99">
        <v>2005</v>
      </c>
      <c r="B42" s="100">
        <v>46.662222222222219</v>
      </c>
      <c r="C42" s="100">
        <v>35.333055555555553</v>
      </c>
      <c r="D42" s="100">
        <v>0.6727777777777777</v>
      </c>
      <c r="E42" s="100">
        <v>0.79722222222222217</v>
      </c>
      <c r="F42" s="100">
        <v>2.6705555555555556</v>
      </c>
      <c r="G42" s="100">
        <v>0.21916666666666665</v>
      </c>
      <c r="H42" s="100">
        <v>1.9268155111111112</v>
      </c>
      <c r="I42" s="100">
        <v>2.8177777777777777</v>
      </c>
      <c r="J42" s="506">
        <v>91.099593288888883</v>
      </c>
    </row>
    <row r="43" spans="1:10" ht="15.95" customHeight="1">
      <c r="A43" s="785">
        <v>2006</v>
      </c>
      <c r="B43" s="786">
        <v>45.777777777777771</v>
      </c>
      <c r="C43" s="786">
        <v>36.392777777777773</v>
      </c>
      <c r="D43" s="786">
        <v>0.65694444444444444</v>
      </c>
      <c r="E43" s="786">
        <v>0.62944444444444447</v>
      </c>
      <c r="F43" s="786">
        <v>2.5247222222222221</v>
      </c>
      <c r="G43" s="786">
        <v>0.27222222222222225</v>
      </c>
      <c r="H43" s="786">
        <v>2.7347674222222222</v>
      </c>
      <c r="I43" s="786">
        <v>2.8849999999999998</v>
      </c>
      <c r="J43" s="787">
        <v>91.87365631111112</v>
      </c>
    </row>
    <row r="44" spans="1:10" ht="15.95" customHeight="1">
      <c r="A44" s="99">
        <v>2007</v>
      </c>
      <c r="B44" s="100">
        <v>45.133055555555558</v>
      </c>
      <c r="C44" s="100">
        <v>37.618333333333332</v>
      </c>
      <c r="D44" s="100">
        <v>0.62583333333333335</v>
      </c>
      <c r="E44" s="100">
        <v>0.53083333333333338</v>
      </c>
      <c r="F44" s="100">
        <v>2.4677777777777776</v>
      </c>
      <c r="G44" s="100">
        <v>0.29138888888888886</v>
      </c>
      <c r="H44" s="100">
        <v>3.6776475444444445</v>
      </c>
      <c r="I44" s="100">
        <v>2.4211111111111108</v>
      </c>
      <c r="J44" s="506">
        <v>92.765980877777793</v>
      </c>
    </row>
    <row r="45" spans="1:10" ht="15.95" customHeight="1">
      <c r="A45" s="785">
        <v>2008</v>
      </c>
      <c r="B45" s="786">
        <v>41.898888888888891</v>
      </c>
      <c r="C45" s="786">
        <v>37.827500000000001</v>
      </c>
      <c r="D45" s="786">
        <v>0.26138888888888884</v>
      </c>
      <c r="E45" s="786">
        <v>0.44361111111111107</v>
      </c>
      <c r="F45" s="786">
        <v>2.3111111111111109</v>
      </c>
      <c r="G45" s="786">
        <v>0.28583333333333333</v>
      </c>
      <c r="H45" s="786">
        <v>4.2920002222222218</v>
      </c>
      <c r="I45" s="786">
        <v>2.3608333333333333</v>
      </c>
      <c r="J45" s="787">
        <v>89.681166888888896</v>
      </c>
    </row>
    <row r="46" spans="1:10" ht="15.95" customHeight="1">
      <c r="A46" s="101">
        <v>2009</v>
      </c>
      <c r="B46" s="102">
        <v>41.131388888888893</v>
      </c>
      <c r="C46" s="102">
        <v>36.866388888888892</v>
      </c>
      <c r="D46" s="102">
        <v>0.1958333333333333</v>
      </c>
      <c r="E46" s="102">
        <v>0.97833333333333328</v>
      </c>
      <c r="F46" s="102">
        <v>2.0247222222222221</v>
      </c>
      <c r="G46" s="102">
        <v>0.26138888888888889</v>
      </c>
      <c r="H46" s="102">
        <v>4.559166666666667</v>
      </c>
      <c r="I46" s="102">
        <v>2.4422222222222221</v>
      </c>
      <c r="J46" s="601">
        <v>88.459444444444472</v>
      </c>
    </row>
    <row r="47" spans="1:10" ht="15.95" customHeight="1">
      <c r="A47" s="785">
        <v>2010</v>
      </c>
      <c r="B47" s="786">
        <v>38.552500000000002</v>
      </c>
      <c r="C47" s="786">
        <v>40.407222222222217</v>
      </c>
      <c r="D47" s="786">
        <v>0.17777777777777778</v>
      </c>
      <c r="E47" s="786">
        <v>1.7261111111111112</v>
      </c>
      <c r="F47" s="786">
        <v>1.9030555555555555</v>
      </c>
      <c r="G47" s="786">
        <v>0.33888888888888885</v>
      </c>
      <c r="H47" s="786">
        <v>4.9680555555555559</v>
      </c>
      <c r="I47" s="786">
        <v>2.4052777777777776</v>
      </c>
      <c r="J47" s="787">
        <v>90.478888888888875</v>
      </c>
    </row>
    <row r="48" spans="1:10" ht="15.95" customHeight="1">
      <c r="A48" s="99">
        <v>2011</v>
      </c>
      <c r="B48" s="100">
        <v>35.681944444444447</v>
      </c>
      <c r="C48" s="100">
        <v>41.325000000000003</v>
      </c>
      <c r="D48" s="100">
        <v>0.19361111111111112</v>
      </c>
      <c r="E48" s="100">
        <v>0.86305555555555558</v>
      </c>
      <c r="F48" s="100">
        <v>2.0911111111111107</v>
      </c>
      <c r="G48" s="100">
        <v>0.4538888888888889</v>
      </c>
      <c r="H48" s="100">
        <v>5.8905555555555544</v>
      </c>
      <c r="I48" s="100">
        <v>2.6397222222222223</v>
      </c>
      <c r="J48" s="506">
        <v>89.138888888888886</v>
      </c>
    </row>
    <row r="49" spans="1:10" ht="15.95" customHeight="1">
      <c r="A49" s="785">
        <v>2012</v>
      </c>
      <c r="B49" s="786">
        <v>32.700277777777778</v>
      </c>
      <c r="C49" s="786">
        <v>40.083611111111111</v>
      </c>
      <c r="D49" s="786">
        <v>0.2311111111111111</v>
      </c>
      <c r="E49" s="786">
        <v>0.53</v>
      </c>
      <c r="F49" s="786">
        <v>2.0544444444444445</v>
      </c>
      <c r="G49" s="786">
        <v>0.55555555555555558</v>
      </c>
      <c r="H49" s="786">
        <v>6.9183333333333339</v>
      </c>
      <c r="I49" s="786">
        <v>2.6844444444444444</v>
      </c>
      <c r="J49" s="787">
        <v>85.757777777777775</v>
      </c>
    </row>
    <row r="50" spans="1:10" ht="15.95" customHeight="1">
      <c r="A50" s="99">
        <v>2013</v>
      </c>
      <c r="B50" s="100">
        <v>30.947500000000002</v>
      </c>
      <c r="C50" s="100">
        <v>39.544722222222219</v>
      </c>
      <c r="D50" s="100">
        <v>0.2583333333333333</v>
      </c>
      <c r="E50" s="100">
        <v>0.52083333333333337</v>
      </c>
      <c r="F50" s="100">
        <v>2.0683333333333334</v>
      </c>
      <c r="G50" s="100">
        <v>0.55555555555555558</v>
      </c>
      <c r="H50" s="100">
        <v>8.3650000000000002</v>
      </c>
      <c r="I50" s="100">
        <v>2.7502777777777778</v>
      </c>
      <c r="J50" s="506">
        <v>85.010555555555555</v>
      </c>
    </row>
    <row r="51" spans="1:10" ht="15.95" customHeight="1">
      <c r="A51" s="785">
        <v>2014</v>
      </c>
      <c r="B51" s="786">
        <v>29.711944444444445</v>
      </c>
      <c r="C51" s="786">
        <v>38.478055555555557</v>
      </c>
      <c r="D51" s="786">
        <v>0.29972222222222222</v>
      </c>
      <c r="E51" s="786">
        <v>0.54249999999999998</v>
      </c>
      <c r="F51" s="786">
        <v>2.0569444444444445</v>
      </c>
      <c r="G51" s="786">
        <v>0.57999999999999996</v>
      </c>
      <c r="H51" s="786">
        <v>10.993611111111111</v>
      </c>
      <c r="I51" s="786">
        <v>2.6155555555555559</v>
      </c>
      <c r="J51" s="787">
        <v>85.278333333333336</v>
      </c>
    </row>
    <row r="52" spans="1:10" ht="15.95" customHeight="1">
      <c r="A52" s="99">
        <v>2015</v>
      </c>
      <c r="B52" s="100">
        <v>28.947222222222223</v>
      </c>
      <c r="C52" s="100">
        <v>39.262777777777771</v>
      </c>
      <c r="D52" s="100">
        <v>0.43916666666666665</v>
      </c>
      <c r="E52" s="100">
        <v>0.24805555555555553</v>
      </c>
      <c r="F52" s="100">
        <v>2.0322222222222224</v>
      </c>
      <c r="G52" s="100">
        <v>0.46944444444444444</v>
      </c>
      <c r="H52" s="100">
        <v>13.186388888888889</v>
      </c>
      <c r="I52" s="100">
        <v>2.5950000000000002</v>
      </c>
      <c r="J52" s="506">
        <v>87.180277777777761</v>
      </c>
    </row>
    <row r="53" spans="1:10" ht="15.95" customHeight="1">
      <c r="A53" s="99"/>
      <c r="B53" s="100"/>
      <c r="C53" s="100"/>
      <c r="D53" s="100"/>
      <c r="E53" s="100"/>
      <c r="F53" s="100"/>
      <c r="G53" s="100"/>
      <c r="H53" s="100"/>
      <c r="I53" s="100"/>
      <c r="J53" s="506"/>
    </row>
    <row r="54" spans="1:10" ht="15.95" customHeight="1">
      <c r="A54" s="92" t="s">
        <v>226</v>
      </c>
      <c r="B54" s="605"/>
      <c r="C54" s="605"/>
      <c r="D54" s="605"/>
      <c r="J54" s="523"/>
    </row>
    <row r="55" spans="1:10" ht="15.95" customHeight="1">
      <c r="A55" s="410" t="s">
        <v>482</v>
      </c>
      <c r="E55" s="98"/>
      <c r="F55" s="98"/>
      <c r="G55" s="98"/>
      <c r="H55" s="98"/>
      <c r="I55" s="98"/>
      <c r="J55" s="523"/>
    </row>
    <row r="56" spans="1:10">
      <c r="A56" s="605" t="s">
        <v>527</v>
      </c>
      <c r="E56" s="98"/>
      <c r="F56" s="98"/>
      <c r="G56" s="98"/>
      <c r="H56" s="98"/>
      <c r="I56" s="98"/>
      <c r="J56" s="523"/>
    </row>
    <row r="57" spans="1:10">
      <c r="A57" s="605" t="s">
        <v>538</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theme="6" tint="0.39997558519241921"/>
  </sheetPr>
  <dimension ref="A1:F31"/>
  <sheetViews>
    <sheetView zoomScaleNormal="100" workbookViewId="0">
      <pane ySplit="6" topLeftCell="A7" activePane="bottomLeft" state="frozen"/>
      <selection pane="bottomLeft" activeCell="D1" sqref="D1"/>
    </sheetView>
  </sheetViews>
  <sheetFormatPr defaultColWidth="8.265625" defaultRowHeight="13.15"/>
  <cols>
    <col min="1" max="1" width="8.59765625" style="105" customWidth="1"/>
    <col min="2" max="6" width="15.73046875" style="104" customWidth="1"/>
    <col min="7" max="16384" width="8.265625" style="98"/>
  </cols>
  <sheetData>
    <row r="1" spans="1:6" ht="15.95" customHeight="1">
      <c r="A1" s="524" t="str">
        <f>IF(språk=lista[[#Headers],[Svenska]],"Innehåll",IF(språk=lista[[#Headers],[English]],"Contents","FEL"))</f>
        <v>Contents</v>
      </c>
    </row>
    <row r="2" spans="1:6" ht="15.95" customHeight="1"/>
    <row r="3" spans="1:6" ht="15.95" customHeight="1">
      <c r="A3" s="414" t="str">
        <f>IFERROR(INDEX(lista[],MATCH($A5,lista[ID],0),MATCH(språk,lista[#Headers],0)),"")</f>
        <v>Biofuels in the transport sector (domestic), by fuel, from 1995, TWh</v>
      </c>
      <c r="B3" s="414"/>
      <c r="C3" s="414"/>
      <c r="D3" s="414"/>
      <c r="E3" s="414"/>
      <c r="F3" s="414"/>
    </row>
    <row r="4" spans="1:6" ht="15.95" customHeight="1">
      <c r="A4" s="414"/>
      <c r="B4" s="414"/>
      <c r="C4" s="414"/>
      <c r="D4" s="414"/>
      <c r="E4" s="414"/>
      <c r="F4" s="414"/>
    </row>
    <row r="5" spans="1:6" ht="15.95" hidden="1" customHeight="1">
      <c r="A5" s="414">
        <v>30</v>
      </c>
      <c r="B5" s="414" t="s">
        <v>647</v>
      </c>
      <c r="C5" s="414" t="s">
        <v>648</v>
      </c>
      <c r="D5" s="414" t="s">
        <v>649</v>
      </c>
      <c r="E5" s="414" t="s">
        <v>650</v>
      </c>
      <c r="F5" s="414"/>
    </row>
    <row r="6" spans="1:6" ht="26.1" customHeight="1">
      <c r="A6" s="232"/>
      <c r="B6" s="510" t="str">
        <f>IFERROR(INDEX(_5.2[],MATCH(språk,_5.2[[id]:[id]],0),MATCH(B$5,_5.2[#Headers],0)),"")</f>
        <v>Bioethanol</v>
      </c>
      <c r="C6" s="510" t="str">
        <f>IFERROR(INDEX(_5.2[],MATCH(språk,_5.2[[id]:[id]],0),MATCH(C$5,_5.2[#Headers],0)),"")</f>
        <v>Biodiesel</v>
      </c>
      <c r="D6" s="510" t="str">
        <f>IFERROR(INDEX(_5.2[],MATCH(språk,_5.2[[id]:[id]],0),MATCH(D$5,_5.2[#Headers],0)),"")</f>
        <v>Biogas</v>
      </c>
      <c r="E6" s="510" t="str">
        <f>IFERROR(INDEX(_5.2[],MATCH(språk,_5.2[[id]:[id]],0),MATCH(E$5,_5.2[#Headers],0)),"")</f>
        <v>Other</v>
      </c>
      <c r="F6" s="235" t="str">
        <f>IF(språk=lista[[#Headers],[Svenska]],"Totalt",IF(språk=lista[[#Headers],[English]],"Total","FEL"))</f>
        <v>Total</v>
      </c>
    </row>
    <row r="7" spans="1:6" ht="15.95" customHeight="1">
      <c r="A7" s="99">
        <v>1995</v>
      </c>
      <c r="B7" s="100">
        <v>0</v>
      </c>
      <c r="C7" s="100">
        <v>0</v>
      </c>
      <c r="D7" s="100">
        <v>0</v>
      </c>
      <c r="E7" s="100">
        <v>0</v>
      </c>
      <c r="F7" s="506">
        <v>0</v>
      </c>
    </row>
    <row r="8" spans="1:6" ht="15.95" customHeight="1">
      <c r="A8" s="785">
        <v>1996</v>
      </c>
      <c r="B8" s="786">
        <v>0</v>
      </c>
      <c r="C8" s="786">
        <v>0</v>
      </c>
      <c r="D8" s="786">
        <v>9.2150000000000001E-4</v>
      </c>
      <c r="E8" s="786">
        <v>0</v>
      </c>
      <c r="F8" s="787">
        <v>9.2150000000000001E-4</v>
      </c>
    </row>
    <row r="9" spans="1:6" ht="15.95" customHeight="1">
      <c r="A9" s="99">
        <v>1997</v>
      </c>
      <c r="B9" s="100">
        <v>0</v>
      </c>
      <c r="C9" s="100">
        <v>0</v>
      </c>
      <c r="D9" s="100">
        <v>1.0863999999999999E-2</v>
      </c>
      <c r="E9" s="100">
        <v>0</v>
      </c>
      <c r="F9" s="506">
        <v>1.0863999999999999E-2</v>
      </c>
    </row>
    <row r="10" spans="1:6" ht="15.95" customHeight="1">
      <c r="A10" s="785">
        <v>1998</v>
      </c>
      <c r="B10" s="786">
        <v>9.4494399999999978E-2</v>
      </c>
      <c r="C10" s="786">
        <v>5.7792000000000003E-2</v>
      </c>
      <c r="D10" s="786">
        <v>2.6927199999999995E-2</v>
      </c>
      <c r="E10" s="786">
        <v>0</v>
      </c>
      <c r="F10" s="787">
        <v>0.17921359999999997</v>
      </c>
    </row>
    <row r="11" spans="1:6" ht="15.95" customHeight="1">
      <c r="A11" s="99">
        <v>1999</v>
      </c>
      <c r="B11" s="100">
        <v>9.3998799999999993E-2</v>
      </c>
      <c r="C11" s="100">
        <v>6.7872000000000002E-2</v>
      </c>
      <c r="D11" s="100">
        <v>3.6695100000000001E-2</v>
      </c>
      <c r="E11" s="100">
        <v>0</v>
      </c>
      <c r="F11" s="506">
        <v>0.19856589999999999</v>
      </c>
    </row>
    <row r="12" spans="1:6" ht="15.95" customHeight="1">
      <c r="A12" s="785">
        <v>2000</v>
      </c>
      <c r="B12" s="786">
        <v>0.15534699999999999</v>
      </c>
      <c r="C12" s="786">
        <v>2.6114666666666665E-2</v>
      </c>
      <c r="D12" s="786">
        <v>4.7918000000000009E-2</v>
      </c>
      <c r="E12" s="786">
        <v>0</v>
      </c>
      <c r="F12" s="787">
        <v>0.22937966666666668</v>
      </c>
    </row>
    <row r="13" spans="1:6" ht="15.95" customHeight="1">
      <c r="A13" s="99">
        <v>2001</v>
      </c>
      <c r="B13" s="100">
        <v>0.2478708</v>
      </c>
      <c r="C13" s="100">
        <v>6.8413333333333338E-3</v>
      </c>
      <c r="D13" s="100">
        <v>6.1197299999999996E-2</v>
      </c>
      <c r="E13" s="100">
        <v>0</v>
      </c>
      <c r="F13" s="506">
        <v>0.31590943333333332</v>
      </c>
    </row>
    <row r="14" spans="1:6" ht="15.95" customHeight="1">
      <c r="A14" s="785">
        <v>2002</v>
      </c>
      <c r="B14" s="786">
        <v>0.45145029999999992</v>
      </c>
      <c r="C14" s="786">
        <v>4.321333333333334E-2</v>
      </c>
      <c r="D14" s="786">
        <v>8.5602499999999998E-2</v>
      </c>
      <c r="E14" s="786">
        <v>0</v>
      </c>
      <c r="F14" s="787">
        <v>0.58026613333333321</v>
      </c>
    </row>
    <row r="15" spans="1:6" ht="15.95" customHeight="1">
      <c r="A15" s="99">
        <v>2003</v>
      </c>
      <c r="B15" s="100">
        <v>0.88240399999999997</v>
      </c>
      <c r="C15" s="100">
        <v>5.0185333333333332E-2</v>
      </c>
      <c r="D15" s="100">
        <v>0.11006589999999999</v>
      </c>
      <c r="E15" s="100">
        <v>0</v>
      </c>
      <c r="F15" s="506">
        <v>1.0426552333333332</v>
      </c>
    </row>
    <row r="16" spans="1:6" ht="15.95" customHeight="1">
      <c r="A16" s="785">
        <v>2004</v>
      </c>
      <c r="B16" s="786">
        <v>1.5369676999999999</v>
      </c>
      <c r="C16" s="786">
        <v>8.6351999999999998E-2</v>
      </c>
      <c r="D16" s="786">
        <v>0.1254113</v>
      </c>
      <c r="E16" s="786">
        <v>0</v>
      </c>
      <c r="F16" s="787">
        <v>1.7487309999999998</v>
      </c>
    </row>
    <row r="17" spans="1:6" ht="15.95" customHeight="1">
      <c r="A17" s="99">
        <v>2005</v>
      </c>
      <c r="B17" s="100">
        <v>1.6736111111111112</v>
      </c>
      <c r="C17" s="100">
        <v>9.7500000000000003E-2</v>
      </c>
      <c r="D17" s="100">
        <v>0.15570440000000002</v>
      </c>
      <c r="E17" s="100">
        <v>0</v>
      </c>
      <c r="F17" s="506">
        <v>1.9268155111111112</v>
      </c>
    </row>
    <row r="18" spans="1:6" ht="15.95" customHeight="1">
      <c r="A18" s="785">
        <v>2006</v>
      </c>
      <c r="B18" s="786">
        <v>1.9155555555555555</v>
      </c>
      <c r="C18" s="786">
        <v>0.58916666666666662</v>
      </c>
      <c r="D18" s="786">
        <v>0.23004520000000001</v>
      </c>
      <c r="E18" s="786">
        <v>0</v>
      </c>
      <c r="F18" s="787">
        <v>2.7347674222222222</v>
      </c>
    </row>
    <row r="19" spans="1:6" ht="15.95" customHeight="1">
      <c r="A19" s="99">
        <v>2007</v>
      </c>
      <c r="B19" s="100">
        <v>2.2027777777777779</v>
      </c>
      <c r="C19" s="100">
        <v>1.1991666666666667</v>
      </c>
      <c r="D19" s="100">
        <v>0.27570309999999998</v>
      </c>
      <c r="E19" s="100">
        <v>0</v>
      </c>
      <c r="F19" s="506">
        <v>3.6776475444444445</v>
      </c>
    </row>
    <row r="20" spans="1:6" ht="15.95" customHeight="1">
      <c r="A20" s="785">
        <v>2008</v>
      </c>
      <c r="B20" s="786">
        <v>2.4563888888888887</v>
      </c>
      <c r="C20" s="786">
        <v>1.5083333333333333</v>
      </c>
      <c r="D20" s="786">
        <v>0.32727800000000001</v>
      </c>
      <c r="E20" s="786">
        <v>0</v>
      </c>
      <c r="F20" s="787">
        <v>4.2920002222222218</v>
      </c>
    </row>
    <row r="21" spans="1:6" ht="15.95" customHeight="1">
      <c r="A21" s="101">
        <v>2009</v>
      </c>
      <c r="B21" s="102">
        <v>2.2711111111111109</v>
      </c>
      <c r="C21" s="102">
        <v>1.8783333333333332</v>
      </c>
      <c r="D21" s="102">
        <v>0.40972222222222221</v>
      </c>
      <c r="E21" s="102">
        <v>0</v>
      </c>
      <c r="F21" s="601">
        <v>4.5591666666666661</v>
      </c>
    </row>
    <row r="22" spans="1:6" ht="15.95" customHeight="1">
      <c r="A22" s="785">
        <v>2010</v>
      </c>
      <c r="B22" s="786">
        <v>2.3325</v>
      </c>
      <c r="C22" s="786">
        <v>2.0619444444444444</v>
      </c>
      <c r="D22" s="786">
        <v>0.57361111111111107</v>
      </c>
      <c r="E22" s="786">
        <v>0</v>
      </c>
      <c r="F22" s="787">
        <v>4.968055555555555</v>
      </c>
    </row>
    <row r="23" spans="1:6" ht="15.95" customHeight="1">
      <c r="A23" s="99">
        <v>2011</v>
      </c>
      <c r="B23" s="100">
        <v>2.4186111111111108</v>
      </c>
      <c r="C23" s="100">
        <v>2.7197222222222224</v>
      </c>
      <c r="D23" s="100">
        <v>0.72777777777777775</v>
      </c>
      <c r="E23" s="100">
        <v>2.4444444444444442E-2</v>
      </c>
      <c r="F23" s="506">
        <v>5.8905555555555562</v>
      </c>
    </row>
    <row r="24" spans="1:6" ht="15.95" customHeight="1">
      <c r="A24" s="785">
        <v>2012</v>
      </c>
      <c r="B24" s="786">
        <v>2.345277777777778</v>
      </c>
      <c r="C24" s="786">
        <v>3.7352777777777777</v>
      </c>
      <c r="D24" s="786">
        <v>0.80805555555555553</v>
      </c>
      <c r="E24" s="786">
        <v>2.9722222222222223E-2</v>
      </c>
      <c r="F24" s="787">
        <v>6.9183333333333339</v>
      </c>
    </row>
    <row r="25" spans="1:6" ht="15.95" customHeight="1">
      <c r="A25" s="99">
        <v>2013</v>
      </c>
      <c r="B25" s="100">
        <v>2.0658333333333334</v>
      </c>
      <c r="C25" s="100">
        <v>5.4175000000000004</v>
      </c>
      <c r="D25" s="100">
        <v>0.87361111111111112</v>
      </c>
      <c r="E25" s="100">
        <v>8.0555555555555554E-3</v>
      </c>
      <c r="F25" s="506">
        <v>8.365000000000002</v>
      </c>
    </row>
    <row r="26" spans="1:6" ht="15.95" customHeight="1">
      <c r="A26" s="785">
        <v>2014</v>
      </c>
      <c r="B26" s="786">
        <v>1.9027777777777779</v>
      </c>
      <c r="C26" s="786">
        <v>8.1111111111111107</v>
      </c>
      <c r="D26" s="786">
        <v>0.97722222222222221</v>
      </c>
      <c r="E26" s="786">
        <v>2.5000000000000001E-3</v>
      </c>
      <c r="F26" s="787">
        <v>10.993611111111111</v>
      </c>
    </row>
    <row r="27" spans="1:6" ht="15.95" customHeight="1">
      <c r="A27" s="99">
        <v>2015</v>
      </c>
      <c r="B27" s="100">
        <v>1.5322222222222222</v>
      </c>
      <c r="C27" s="100">
        <v>10.522500000000001</v>
      </c>
      <c r="D27" s="100">
        <v>1.128611111111111</v>
      </c>
      <c r="E27" s="100">
        <v>3.0555555555555553E-3</v>
      </c>
      <c r="F27" s="506">
        <v>13.186388888888889</v>
      </c>
    </row>
    <row r="28" spans="1:6" ht="15.95" customHeight="1">
      <c r="A28" s="99"/>
      <c r="B28" s="100"/>
      <c r="C28" s="100"/>
      <c r="D28" s="100"/>
      <c r="E28" s="100"/>
      <c r="F28" s="506"/>
    </row>
    <row r="29" spans="1:6" ht="15.95" customHeight="1">
      <c r="A29" s="95" t="s">
        <v>35</v>
      </c>
      <c r="B29" s="98"/>
      <c r="C29" s="98"/>
      <c r="D29" s="98"/>
      <c r="E29" s="98"/>
      <c r="F29" s="98"/>
    </row>
    <row r="30" spans="1:6" ht="15.95" customHeight="1">
      <c r="A30" s="103"/>
      <c r="B30" s="98"/>
      <c r="C30" s="98"/>
      <c r="D30" s="98"/>
      <c r="E30" s="98"/>
      <c r="F30" s="98"/>
    </row>
    <row r="31" spans="1:6">
      <c r="A31" s="103"/>
      <c r="B31" s="98"/>
      <c r="C31" s="98"/>
      <c r="D31" s="98"/>
      <c r="E31" s="98"/>
      <c r="F31" s="98"/>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theme="6" tint="0.39997558519241921"/>
  </sheetPr>
  <dimension ref="A1:F57"/>
  <sheetViews>
    <sheetView zoomScaleNormal="100" workbookViewId="0">
      <pane ySplit="6" topLeftCell="A7" activePane="bottomLeft" state="frozen"/>
      <selection pane="bottomLeft" activeCell="D1" sqref="D1"/>
    </sheetView>
  </sheetViews>
  <sheetFormatPr defaultColWidth="8.265625" defaultRowHeight="13.15"/>
  <cols>
    <col min="1" max="1" width="8.59765625" style="105" customWidth="1"/>
    <col min="2" max="6" width="15.73046875" style="104" customWidth="1"/>
    <col min="7" max="16384" width="8.265625" style="98"/>
  </cols>
  <sheetData>
    <row r="1" spans="1:6" ht="15.95" customHeight="1">
      <c r="A1" s="524" t="str">
        <f>IF(språk=lista[[#Headers],[Svenska]],"Innehåll",IF(språk=lista[[#Headers],[English]],"Contents","FEL"))</f>
        <v>Contents</v>
      </c>
    </row>
    <row r="2" spans="1:6" ht="15.95" customHeight="1"/>
    <row r="3" spans="1:6" ht="15.95" customHeight="1">
      <c r="A3" s="414" t="str">
        <f>IFERROR(INDEX(lista[],MATCH($A5,lista[ID],0),MATCH(språk,lista[#Headers],0)),"")</f>
        <v>Final energy use in the transport sector (domestic), by type of transport, from 1970, TWh</v>
      </c>
      <c r="B3" s="414"/>
      <c r="C3" s="414"/>
      <c r="D3" s="414"/>
      <c r="E3" s="414"/>
      <c r="F3" s="414"/>
    </row>
    <row r="4" spans="1:6" ht="15.95" customHeight="1">
      <c r="A4" s="414"/>
      <c r="B4" s="414"/>
      <c r="C4" s="414"/>
      <c r="D4" s="414"/>
      <c r="E4" s="414"/>
      <c r="F4" s="414"/>
    </row>
    <row r="5" spans="1:6" ht="15.95" hidden="1" customHeight="1">
      <c r="A5" s="414">
        <v>31</v>
      </c>
      <c r="B5" s="414" t="s">
        <v>647</v>
      </c>
      <c r="C5" s="414" t="s">
        <v>648</v>
      </c>
      <c r="D5" s="414" t="s">
        <v>649</v>
      </c>
      <c r="E5" s="414" t="s">
        <v>650</v>
      </c>
      <c r="F5" s="414"/>
    </row>
    <row r="6" spans="1:6" ht="26.1" customHeight="1">
      <c r="A6" s="232"/>
      <c r="B6" s="233" t="str">
        <f>IFERROR(INDEX(_5.3[],MATCH(språk,_5.3[[id]:[id]],0),MATCH(B$5,_5.3[#Headers],0)),"")</f>
        <v>Road</v>
      </c>
      <c r="C6" s="233" t="str">
        <f>IFERROR(INDEX(_5.3[],MATCH(språk,_5.3[[id]:[id]],0),MATCH(C$5,_5.3[#Headers],0)),"")</f>
        <v>Shipping</v>
      </c>
      <c r="D6" s="233" t="str">
        <f>IFERROR(INDEX(_5.3[],MATCH(språk,_5.3[[id]:[id]],0),MATCH(D$5,_5.3[#Headers],0)),"")</f>
        <v>Aviation</v>
      </c>
      <c r="E6" s="233" t="str">
        <f>IFERROR(INDEX(_5.3[],MATCH(språk,_5.3[[id]:[id]],0),MATCH(E$5,_5.3[#Headers],0)),"")</f>
        <v>Rail</v>
      </c>
      <c r="F6" s="235" t="str">
        <f>IF(språk=lista[[#Headers],[Svenska]],"Totalt",IF(språk=lista[[#Headers],[English]],"Total","FEL"))</f>
        <v>Total</v>
      </c>
    </row>
    <row r="7" spans="1:6" ht="15.95" customHeight="1">
      <c r="A7" s="785">
        <v>1970</v>
      </c>
      <c r="B7" s="786">
        <v>47.3</v>
      </c>
      <c r="C7" s="786">
        <v>1</v>
      </c>
      <c r="D7" s="786">
        <v>6</v>
      </c>
      <c r="E7" s="786">
        <v>2.1</v>
      </c>
      <c r="F7" s="787">
        <v>56.4</v>
      </c>
    </row>
    <row r="8" spans="1:6" ht="15.95" customHeight="1">
      <c r="A8" s="99">
        <v>1971</v>
      </c>
      <c r="B8" s="100">
        <v>47.7</v>
      </c>
      <c r="C8" s="100">
        <v>0.5</v>
      </c>
      <c r="D8" s="100">
        <v>5.8</v>
      </c>
      <c r="E8" s="100">
        <v>1.9</v>
      </c>
      <c r="F8" s="506">
        <v>55.9</v>
      </c>
    </row>
    <row r="9" spans="1:6" ht="15.95" customHeight="1">
      <c r="A9" s="785">
        <v>1972</v>
      </c>
      <c r="B9" s="786">
        <v>49.400000000000006</v>
      </c>
      <c r="C9" s="786">
        <v>0.2</v>
      </c>
      <c r="D9" s="786">
        <v>6.6</v>
      </c>
      <c r="E9" s="786">
        <v>2</v>
      </c>
      <c r="F9" s="787">
        <v>58.20000000000001</v>
      </c>
    </row>
    <row r="10" spans="1:6" ht="15.95" customHeight="1">
      <c r="A10" s="99">
        <v>1973</v>
      </c>
      <c r="B10" s="100">
        <v>52.2</v>
      </c>
      <c r="C10" s="100">
        <v>0.3</v>
      </c>
      <c r="D10" s="100">
        <v>7</v>
      </c>
      <c r="E10" s="100">
        <v>2.1</v>
      </c>
      <c r="F10" s="506">
        <v>61.6</v>
      </c>
    </row>
    <row r="11" spans="1:6" ht="15.95" customHeight="1">
      <c r="A11" s="785">
        <v>1974</v>
      </c>
      <c r="B11" s="786">
        <v>49.5</v>
      </c>
      <c r="C11" s="786">
        <v>0.3</v>
      </c>
      <c r="D11" s="786">
        <v>6.2</v>
      </c>
      <c r="E11" s="786">
        <v>2.1</v>
      </c>
      <c r="F11" s="787">
        <v>58.1</v>
      </c>
    </row>
    <row r="12" spans="1:6" ht="15.95" customHeight="1">
      <c r="A12" s="99">
        <v>1975</v>
      </c>
      <c r="B12" s="100">
        <v>53.900000000000006</v>
      </c>
      <c r="C12" s="100">
        <v>0.3</v>
      </c>
      <c r="D12" s="100">
        <v>6.1</v>
      </c>
      <c r="E12" s="100">
        <v>2</v>
      </c>
      <c r="F12" s="506">
        <v>62.300000000000004</v>
      </c>
    </row>
    <row r="13" spans="1:6" ht="15.95" customHeight="1">
      <c r="A13" s="785">
        <v>1976</v>
      </c>
      <c r="B13" s="786">
        <v>58.2</v>
      </c>
      <c r="C13" s="786">
        <v>0.4</v>
      </c>
      <c r="D13" s="786">
        <v>6.4</v>
      </c>
      <c r="E13" s="786">
        <v>2.1</v>
      </c>
      <c r="F13" s="787">
        <v>67.099999999999994</v>
      </c>
    </row>
    <row r="14" spans="1:6" ht="15.95" customHeight="1">
      <c r="A14" s="99">
        <v>1977</v>
      </c>
      <c r="B14" s="100">
        <v>60.6</v>
      </c>
      <c r="C14" s="100">
        <v>0.3</v>
      </c>
      <c r="D14" s="100">
        <v>6.7</v>
      </c>
      <c r="E14" s="100">
        <v>2.1</v>
      </c>
      <c r="F14" s="506">
        <v>69.699999999999989</v>
      </c>
    </row>
    <row r="15" spans="1:6" ht="15.95" customHeight="1">
      <c r="A15" s="785">
        <v>1978</v>
      </c>
      <c r="B15" s="786">
        <v>61.2</v>
      </c>
      <c r="C15" s="786">
        <v>0.3</v>
      </c>
      <c r="D15" s="786">
        <v>6.9</v>
      </c>
      <c r="E15" s="786">
        <v>2.2000000000000002</v>
      </c>
      <c r="F15" s="787">
        <v>70.600000000000009</v>
      </c>
    </row>
    <row r="16" spans="1:6" ht="15.95" customHeight="1">
      <c r="A16" s="99">
        <v>1979</v>
      </c>
      <c r="B16" s="100">
        <v>61.7</v>
      </c>
      <c r="C16" s="100">
        <v>0.4</v>
      </c>
      <c r="D16" s="100">
        <v>6.6</v>
      </c>
      <c r="E16" s="100">
        <v>2.2999999999999998</v>
      </c>
      <c r="F16" s="506">
        <v>71</v>
      </c>
    </row>
    <row r="17" spans="1:6" ht="15.95" customHeight="1">
      <c r="A17" s="785">
        <v>1980</v>
      </c>
      <c r="B17" s="786">
        <v>58.599999999999994</v>
      </c>
      <c r="C17" s="786">
        <v>0.7</v>
      </c>
      <c r="D17" s="786">
        <v>6.5</v>
      </c>
      <c r="E17" s="786">
        <v>2.2999999999999998</v>
      </c>
      <c r="F17" s="787">
        <v>68.099999999999994</v>
      </c>
    </row>
    <row r="18" spans="1:6" ht="15.95" customHeight="1">
      <c r="A18" s="99">
        <v>1981</v>
      </c>
      <c r="B18" s="100">
        <v>57.5</v>
      </c>
      <c r="C18" s="100">
        <v>0.5</v>
      </c>
      <c r="D18" s="100">
        <v>6.8</v>
      </c>
      <c r="E18" s="100">
        <v>2.2999999999999998</v>
      </c>
      <c r="F18" s="506">
        <v>67.099999999999994</v>
      </c>
    </row>
    <row r="19" spans="1:6" ht="15.95" customHeight="1">
      <c r="A19" s="785">
        <v>1982</v>
      </c>
      <c r="B19" s="786">
        <v>57.6</v>
      </c>
      <c r="C19" s="786">
        <v>0.6</v>
      </c>
      <c r="D19" s="786">
        <v>7</v>
      </c>
      <c r="E19" s="786">
        <v>2.2999999999999998</v>
      </c>
      <c r="F19" s="787">
        <v>67.5</v>
      </c>
    </row>
    <row r="20" spans="1:6" ht="15.95" customHeight="1">
      <c r="A20" s="99">
        <v>1983</v>
      </c>
      <c r="B20" s="100">
        <v>60.413333333333327</v>
      </c>
      <c r="C20" s="100">
        <v>1.8049999999999999</v>
      </c>
      <c r="D20" s="100">
        <v>6.2938888888888886</v>
      </c>
      <c r="E20" s="100">
        <v>2.355</v>
      </c>
      <c r="F20" s="506">
        <v>70.867222222222225</v>
      </c>
    </row>
    <row r="21" spans="1:6" ht="15.95" customHeight="1">
      <c r="A21" s="785">
        <v>1984</v>
      </c>
      <c r="B21" s="786">
        <v>62.905277777777776</v>
      </c>
      <c r="C21" s="786">
        <v>2.4925000000000002</v>
      </c>
      <c r="D21" s="786">
        <v>6.7125000000000004</v>
      </c>
      <c r="E21" s="786">
        <v>2.4619444444444443</v>
      </c>
      <c r="F21" s="787">
        <v>74.572222222222223</v>
      </c>
    </row>
    <row r="22" spans="1:6" ht="15.95" customHeight="1">
      <c r="A22" s="99">
        <v>1985</v>
      </c>
      <c r="B22" s="100">
        <v>63.900555555555556</v>
      </c>
      <c r="C22" s="100">
        <v>2.7366666666666664</v>
      </c>
      <c r="D22" s="100">
        <v>6.4138888888888888</v>
      </c>
      <c r="E22" s="100">
        <v>2.6188888888888888</v>
      </c>
      <c r="F22" s="506">
        <v>75.67</v>
      </c>
    </row>
    <row r="23" spans="1:6" ht="15.95" customHeight="1">
      <c r="A23" s="785">
        <v>1986</v>
      </c>
      <c r="B23" s="786">
        <v>66.179166666666674</v>
      </c>
      <c r="C23" s="786">
        <v>2.5913888888888885</v>
      </c>
      <c r="D23" s="786">
        <v>7.5944444444444441</v>
      </c>
      <c r="E23" s="786">
        <v>2.6150000000000002</v>
      </c>
      <c r="F23" s="787">
        <v>78.98</v>
      </c>
    </row>
    <row r="24" spans="1:6" ht="15.95" customHeight="1">
      <c r="A24" s="99">
        <v>1987</v>
      </c>
      <c r="B24" s="100">
        <v>68.356944444444437</v>
      </c>
      <c r="C24" s="100">
        <v>2.3680555555555558</v>
      </c>
      <c r="D24" s="100">
        <v>8.0250000000000004</v>
      </c>
      <c r="E24" s="100">
        <v>2.6319444444444442</v>
      </c>
      <c r="F24" s="506">
        <v>81.381944444444443</v>
      </c>
    </row>
    <row r="25" spans="1:6" ht="15.95" customHeight="1">
      <c r="A25" s="785">
        <v>1988</v>
      </c>
      <c r="B25" s="786">
        <v>71.180277777777775</v>
      </c>
      <c r="C25" s="786">
        <v>2.391111111111111</v>
      </c>
      <c r="D25" s="786">
        <v>8.9152777777777779</v>
      </c>
      <c r="E25" s="786">
        <v>2.6080555555555556</v>
      </c>
      <c r="F25" s="787">
        <v>85.094722222222217</v>
      </c>
    </row>
    <row r="26" spans="1:6" ht="15.95" customHeight="1">
      <c r="A26" s="99">
        <v>1989</v>
      </c>
      <c r="B26" s="100">
        <v>72.142499999999998</v>
      </c>
      <c r="C26" s="100">
        <v>1.8616666666666666</v>
      </c>
      <c r="D26" s="100">
        <v>9.8772222222222226</v>
      </c>
      <c r="E26" s="100">
        <v>2.5099999999999998</v>
      </c>
      <c r="F26" s="506">
        <v>86.391388888888898</v>
      </c>
    </row>
    <row r="27" spans="1:6" ht="15.95" customHeight="1">
      <c r="A27" s="785">
        <v>1990</v>
      </c>
      <c r="B27" s="786">
        <v>69.060833333333335</v>
      </c>
      <c r="C27" s="786">
        <v>1.6411111111111112</v>
      </c>
      <c r="D27" s="786">
        <v>3.44379218533664</v>
      </c>
      <c r="E27" s="786">
        <v>2.4750000000000001</v>
      </c>
      <c r="F27" s="787">
        <v>76.620736629781078</v>
      </c>
    </row>
    <row r="28" spans="1:6" ht="15.95" customHeight="1">
      <c r="A28" s="99">
        <v>1991</v>
      </c>
      <c r="B28" s="100">
        <v>68.837222222222223</v>
      </c>
      <c r="C28" s="100">
        <v>1.1555555555555554</v>
      </c>
      <c r="D28" s="100">
        <v>3.2303770197643513</v>
      </c>
      <c r="E28" s="100">
        <v>2.4030555555555555</v>
      </c>
      <c r="F28" s="506">
        <v>75.626210353097676</v>
      </c>
    </row>
    <row r="29" spans="1:6" ht="15.95" customHeight="1">
      <c r="A29" s="785">
        <v>1992</v>
      </c>
      <c r="B29" s="786">
        <v>69.411944444444444</v>
      </c>
      <c r="C29" s="786">
        <v>1.0502777777777779</v>
      </c>
      <c r="D29" s="786">
        <v>3.953751425319906</v>
      </c>
      <c r="E29" s="786">
        <v>2.4719444444444445</v>
      </c>
      <c r="F29" s="787">
        <v>76.887918091986577</v>
      </c>
    </row>
    <row r="30" spans="1:6" ht="15.95" customHeight="1">
      <c r="A30" s="99">
        <v>1993</v>
      </c>
      <c r="B30" s="100">
        <v>67.118055555555557</v>
      </c>
      <c r="C30" s="100">
        <v>0.74750000000000005</v>
      </c>
      <c r="D30" s="100">
        <v>3.1059664831594644</v>
      </c>
      <c r="E30" s="100">
        <v>2.34</v>
      </c>
      <c r="F30" s="506">
        <v>73.311522038715026</v>
      </c>
    </row>
    <row r="31" spans="1:6" ht="15.95" customHeight="1">
      <c r="A31" s="785">
        <v>1994</v>
      </c>
      <c r="B31" s="786">
        <v>68.684722222222234</v>
      </c>
      <c r="C31" s="786">
        <v>0.69083333333333341</v>
      </c>
      <c r="D31" s="786">
        <v>3.0596113267922749</v>
      </c>
      <c r="E31" s="786">
        <v>2.4688888888888885</v>
      </c>
      <c r="F31" s="787">
        <v>74.904055771236727</v>
      </c>
    </row>
    <row r="32" spans="1:6" ht="15.95" customHeight="1">
      <c r="A32" s="99">
        <v>1995</v>
      </c>
      <c r="B32" s="100">
        <v>70.148333333333326</v>
      </c>
      <c r="C32" s="100">
        <v>0.7780555555555555</v>
      </c>
      <c r="D32" s="100">
        <v>2.9832704421296894</v>
      </c>
      <c r="E32" s="100">
        <v>2.7180555555555554</v>
      </c>
      <c r="F32" s="506">
        <v>76.627714886574125</v>
      </c>
    </row>
    <row r="33" spans="1:6" ht="15.95" customHeight="1">
      <c r="A33" s="785">
        <v>1996</v>
      </c>
      <c r="B33" s="786">
        <v>69.682032611111111</v>
      </c>
      <c r="C33" s="786">
        <v>0.85027777777777769</v>
      </c>
      <c r="D33" s="786">
        <v>2.8600649121670996</v>
      </c>
      <c r="E33" s="786">
        <v>3.0680555555555555</v>
      </c>
      <c r="F33" s="787">
        <v>76.460430856611552</v>
      </c>
    </row>
    <row r="34" spans="1:6" ht="15.95" customHeight="1">
      <c r="A34" s="99">
        <v>1997</v>
      </c>
      <c r="B34" s="100">
        <v>69.141419555555544</v>
      </c>
      <c r="C34" s="100">
        <v>1.0983333333333332</v>
      </c>
      <c r="D34" s="100">
        <v>2.9959010404488273</v>
      </c>
      <c r="E34" s="100">
        <v>2.9538888888888888</v>
      </c>
      <c r="F34" s="506">
        <v>76.189542818226585</v>
      </c>
    </row>
    <row r="35" spans="1:6" ht="15.95" customHeight="1">
      <c r="A35" s="785">
        <v>1998</v>
      </c>
      <c r="B35" s="786">
        <v>72.597546933333319</v>
      </c>
      <c r="C35" s="786">
        <v>1.3511111111111112</v>
      </c>
      <c r="D35" s="786">
        <v>2.7467679063156223</v>
      </c>
      <c r="E35" s="786">
        <v>2.7788888888888885</v>
      </c>
      <c r="F35" s="787">
        <v>79.47431483964894</v>
      </c>
    </row>
    <row r="36" spans="1:6" ht="15.95" customHeight="1">
      <c r="A36" s="99">
        <v>1999</v>
      </c>
      <c r="B36" s="100">
        <v>73.146343677777779</v>
      </c>
      <c r="C36" s="100">
        <v>1.5802777777777779</v>
      </c>
      <c r="D36" s="100">
        <v>2.6326608432594094</v>
      </c>
      <c r="E36" s="100">
        <v>3.016111111111111</v>
      </c>
      <c r="F36" s="506">
        <v>80.37539340992609</v>
      </c>
    </row>
    <row r="37" spans="1:6" ht="15.95" customHeight="1">
      <c r="A37" s="785">
        <v>2000</v>
      </c>
      <c r="B37" s="786">
        <v>71.886046333333312</v>
      </c>
      <c r="C37" s="786">
        <v>1.5774999999999999</v>
      </c>
      <c r="D37" s="786">
        <v>2.7136580472370722</v>
      </c>
      <c r="E37" s="786">
        <v>3.1949999999999998</v>
      </c>
      <c r="F37" s="787">
        <v>79.372204380570381</v>
      </c>
    </row>
    <row r="38" spans="1:6" ht="15.95" customHeight="1">
      <c r="A38" s="99">
        <v>2001</v>
      </c>
      <c r="B38" s="100">
        <v>74.349672594444442</v>
      </c>
      <c r="C38" s="100">
        <v>1.6705555555555553</v>
      </c>
      <c r="D38" s="100">
        <v>2.5516108167896889</v>
      </c>
      <c r="E38" s="100">
        <v>2.8630555555555555</v>
      </c>
      <c r="F38" s="506">
        <v>81.434894522345246</v>
      </c>
    </row>
    <row r="39" spans="1:6" ht="15.95" customHeight="1">
      <c r="A39" s="785">
        <v>2002</v>
      </c>
      <c r="B39" s="786">
        <v>78.753750216666674</v>
      </c>
      <c r="C39" s="786">
        <v>1.6425000000000001</v>
      </c>
      <c r="D39" s="786">
        <v>2.5253007068914028</v>
      </c>
      <c r="E39" s="786">
        <v>2.8680555555555558</v>
      </c>
      <c r="F39" s="787">
        <v>85.78960647911363</v>
      </c>
    </row>
    <row r="40" spans="1:6" ht="15.95" customHeight="1">
      <c r="A40" s="99">
        <v>2003</v>
      </c>
      <c r="B40" s="100">
        <v>80.351448884399986</v>
      </c>
      <c r="C40" s="100">
        <v>1.83</v>
      </c>
      <c r="D40" s="100">
        <v>2.4476259777080385</v>
      </c>
      <c r="E40" s="100">
        <v>2.8388888888888886</v>
      </c>
      <c r="F40" s="506">
        <v>87.467963750996915</v>
      </c>
    </row>
    <row r="41" spans="1:6" ht="15.95" customHeight="1">
      <c r="A41" s="785">
        <v>2004</v>
      </c>
      <c r="B41" s="786">
        <v>82.871525433333346</v>
      </c>
      <c r="C41" s="786">
        <v>1.578888888888889</v>
      </c>
      <c r="D41" s="786">
        <v>2.7474946607524231</v>
      </c>
      <c r="E41" s="786">
        <v>2.99</v>
      </c>
      <c r="F41" s="787">
        <v>90.187908982974648</v>
      </c>
    </row>
    <row r="42" spans="1:6" ht="15.95" customHeight="1">
      <c r="A42" s="99">
        <v>2005</v>
      </c>
      <c r="B42" s="100">
        <v>84.141259955555569</v>
      </c>
      <c r="C42" s="100">
        <v>1.47</v>
      </c>
      <c r="D42" s="100">
        <v>2.6705555555555556</v>
      </c>
      <c r="E42" s="100">
        <v>2.8177777777777777</v>
      </c>
      <c r="F42" s="506">
        <v>91.099593288888897</v>
      </c>
    </row>
    <row r="43" spans="1:6" ht="15.95" customHeight="1">
      <c r="A43" s="785">
        <v>2006</v>
      </c>
      <c r="B43" s="786">
        <v>85.177545200000012</v>
      </c>
      <c r="C43" s="786">
        <v>1.2863888888888888</v>
      </c>
      <c r="D43" s="786">
        <v>2.5247222222222221</v>
      </c>
      <c r="E43" s="786">
        <v>2.8849999999999998</v>
      </c>
      <c r="F43" s="787">
        <v>91.873656311111134</v>
      </c>
    </row>
    <row r="44" spans="1:6" ht="15.95" customHeight="1">
      <c r="A44" s="99">
        <v>2007</v>
      </c>
      <c r="B44" s="100">
        <v>86.720425322222226</v>
      </c>
      <c r="C44" s="100">
        <v>1.1566666666666667</v>
      </c>
      <c r="D44" s="100">
        <v>2.4677777777777776</v>
      </c>
      <c r="E44" s="100">
        <v>2.4211111111111108</v>
      </c>
      <c r="F44" s="506">
        <v>92.765980877777793</v>
      </c>
    </row>
    <row r="45" spans="1:6" ht="15.95" customHeight="1">
      <c r="A45" s="785">
        <v>2008</v>
      </c>
      <c r="B45" s="786">
        <v>84.304222444444449</v>
      </c>
      <c r="C45" s="786">
        <v>0.70499999999999996</v>
      </c>
      <c r="D45" s="786">
        <v>2.3111111111111109</v>
      </c>
      <c r="E45" s="786">
        <v>2.3608333333333333</v>
      </c>
      <c r="F45" s="787">
        <v>89.681166888888896</v>
      </c>
    </row>
    <row r="46" spans="1:6" ht="15.95" customHeight="1">
      <c r="A46" s="101">
        <v>2009</v>
      </c>
      <c r="B46" s="102">
        <v>82.818333333333328</v>
      </c>
      <c r="C46" s="102">
        <v>1.1741666666666668</v>
      </c>
      <c r="D46" s="102">
        <v>2.0247222222222221</v>
      </c>
      <c r="E46" s="102">
        <v>2.4422222222222221</v>
      </c>
      <c r="F46" s="601">
        <v>88.459444444444443</v>
      </c>
    </row>
    <row r="47" spans="1:6" ht="15.95" customHeight="1">
      <c r="A47" s="785">
        <v>2010</v>
      </c>
      <c r="B47" s="786">
        <v>84.266666666666666</v>
      </c>
      <c r="C47" s="786">
        <v>1.903888888888889</v>
      </c>
      <c r="D47" s="786">
        <v>1.9030555555555555</v>
      </c>
      <c r="E47" s="786">
        <v>2.4052777777777776</v>
      </c>
      <c r="F47" s="787">
        <v>90.478888888888889</v>
      </c>
    </row>
    <row r="48" spans="1:6" ht="15.95" customHeight="1">
      <c r="A48" s="99">
        <v>2011</v>
      </c>
      <c r="B48" s="100">
        <v>83.351388888888891</v>
      </c>
      <c r="C48" s="100">
        <v>1.0566666666666666</v>
      </c>
      <c r="D48" s="100">
        <v>2.0911111111111107</v>
      </c>
      <c r="E48" s="100">
        <v>2.6397222222222223</v>
      </c>
      <c r="F48" s="506">
        <v>89.138888888888886</v>
      </c>
    </row>
    <row r="49" spans="1:6" ht="15.95" customHeight="1">
      <c r="A49" s="785">
        <v>2012</v>
      </c>
      <c r="B49" s="786">
        <v>80.257777777777775</v>
      </c>
      <c r="C49" s="786">
        <v>0.76111111111111107</v>
      </c>
      <c r="D49" s="786">
        <v>2.0544444444444445</v>
      </c>
      <c r="E49" s="786">
        <v>2.6844444444444444</v>
      </c>
      <c r="F49" s="787">
        <v>85.757777777777761</v>
      </c>
    </row>
    <row r="50" spans="1:6" ht="15.95" customHeight="1">
      <c r="A50" s="99">
        <v>2013</v>
      </c>
      <c r="B50" s="100">
        <v>79.412777777777762</v>
      </c>
      <c r="C50" s="100">
        <v>0.77916666666666667</v>
      </c>
      <c r="D50" s="100">
        <v>2.0683333333333334</v>
      </c>
      <c r="E50" s="100">
        <v>2.7502777777777778</v>
      </c>
      <c r="F50" s="506">
        <v>85.010555555555541</v>
      </c>
    </row>
    <row r="51" spans="1:6" ht="15.95" customHeight="1">
      <c r="A51" s="785">
        <v>2014</v>
      </c>
      <c r="B51" s="786">
        <v>79.763611111111103</v>
      </c>
      <c r="C51" s="786">
        <v>0.84222222222222221</v>
      </c>
      <c r="D51" s="786">
        <v>2.0569444444444445</v>
      </c>
      <c r="E51" s="786">
        <v>2.6155555555555559</v>
      </c>
      <c r="F51" s="787">
        <v>85.278333333333322</v>
      </c>
    </row>
    <row r="52" spans="1:6" ht="15.95" customHeight="1">
      <c r="A52" s="99">
        <v>2015</v>
      </c>
      <c r="B52" s="100">
        <v>81.865833333333342</v>
      </c>
      <c r="C52" s="100">
        <v>0.68722222222222218</v>
      </c>
      <c r="D52" s="100">
        <v>2.0322222222222224</v>
      </c>
      <c r="E52" s="100">
        <v>2.5950000000000002</v>
      </c>
      <c r="F52" s="506">
        <v>87.180277777777775</v>
      </c>
    </row>
    <row r="53" spans="1:6" ht="15.95" customHeight="1">
      <c r="A53" s="99"/>
      <c r="B53" s="100"/>
      <c r="C53" s="100"/>
      <c r="D53" s="100"/>
      <c r="E53" s="100"/>
      <c r="F53" s="506"/>
    </row>
    <row r="54" spans="1:6" ht="15.95" customHeight="1">
      <c r="A54" s="26" t="s">
        <v>27</v>
      </c>
      <c r="B54" s="553"/>
      <c r="C54" s="553"/>
      <c r="F54" s="98"/>
    </row>
    <row r="55" spans="1:6" ht="15" customHeight="1">
      <c r="A55" s="410" t="s">
        <v>482</v>
      </c>
      <c r="D55" s="98"/>
      <c r="E55" s="98"/>
      <c r="F55" s="98"/>
    </row>
    <row r="56" spans="1:6" ht="15.95" customHeight="1">
      <c r="A56" s="553" t="s">
        <v>528</v>
      </c>
      <c r="D56" s="98"/>
      <c r="E56" s="98"/>
      <c r="F56" s="98"/>
    </row>
    <row r="57" spans="1:6">
      <c r="A57" s="553" t="s">
        <v>539</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theme="6" tint="0.39997558519241921"/>
  </sheetPr>
  <dimension ref="A1:J57"/>
  <sheetViews>
    <sheetView zoomScaleNormal="100" workbookViewId="0">
      <pane ySplit="6" topLeftCell="A7" activePane="bottomLeft" state="frozen"/>
      <selection pane="bottomLeft" activeCell="C1" sqref="C1"/>
    </sheetView>
  </sheetViews>
  <sheetFormatPr defaultColWidth="9.1328125" defaultRowHeight="13.15"/>
  <cols>
    <col min="1" max="1" width="8" style="98" customWidth="1"/>
    <col min="2" max="3" width="20.73046875" style="98" customWidth="1"/>
    <col min="4" max="4" width="18.73046875" style="98" customWidth="1"/>
    <col min="5" max="5" width="10.73046875" style="98" customWidth="1"/>
    <col min="6" max="11" width="9.1328125" style="98"/>
    <col min="12" max="12" width="20.265625" style="98" customWidth="1"/>
    <col min="13" max="16384" width="9.1328125" style="98"/>
  </cols>
  <sheetData>
    <row r="1" spans="1:10">
      <c r="A1" s="524" t="str">
        <f>IF(språk=lista[[#Headers],[Svenska]],"Innehåll",IF(språk=lista[[#Headers],[English]],"Contents","FEL"))</f>
        <v>Contents</v>
      </c>
    </row>
    <row r="3" spans="1:10" ht="15.75">
      <c r="A3" s="395" t="str">
        <f>IFERROR(INDEX(lista[],MATCH($A5,lista[ID],0),MATCH(språk,lista[#Headers],0)),"")</f>
        <v>Use of energy for international transport, from 1970, TWh</v>
      </c>
    </row>
    <row r="5" spans="1:10" ht="15.75" hidden="1">
      <c r="A5" s="106">
        <v>32</v>
      </c>
      <c r="B5" s="107" t="s">
        <v>647</v>
      </c>
      <c r="C5" s="107" t="s">
        <v>648</v>
      </c>
      <c r="D5" s="107"/>
      <c r="E5" s="107"/>
      <c r="F5" s="107"/>
      <c r="G5" s="107"/>
      <c r="H5" s="107"/>
      <c r="I5" s="107"/>
      <c r="J5" s="107"/>
    </row>
    <row r="6" spans="1:10" ht="15.75">
      <c r="A6" s="684"/>
      <c r="B6" s="234" t="str">
        <f>IFERROR(INDEX(_5.4[],MATCH(språk,_5.4[[id]:[id]],0),MATCH(B$5,_5.4[#Headers],0)),"")</f>
        <v>International shipping</v>
      </c>
      <c r="C6" s="234" t="str">
        <f>IFERROR(INDEX(_5.4[],MATCH(språk,_5.4[[id]:[id]],0),MATCH(C$5,_5.4[#Headers],0)),"")</f>
        <v>International aviation</v>
      </c>
      <c r="D6" s="453" t="str">
        <f>IF(språk=lista[[#Headers],[Svenska]],"Totalt",IF(språk=lista[[#Headers],[English]],"Total","FEL"))</f>
        <v>Total</v>
      </c>
      <c r="E6" s="107"/>
      <c r="F6" s="107"/>
      <c r="G6" s="107"/>
      <c r="H6" s="107"/>
      <c r="I6" s="107"/>
      <c r="J6" s="107"/>
    </row>
    <row r="7" spans="1:10" ht="15.95" customHeight="1">
      <c r="A7" s="785">
        <v>1970</v>
      </c>
      <c r="B7" s="786">
        <v>13.9</v>
      </c>
      <c r="C7" s="786"/>
      <c r="D7" s="786">
        <v>13.9</v>
      </c>
      <c r="E7" s="107"/>
      <c r="F7" s="107"/>
      <c r="G7" s="107"/>
      <c r="H7" s="107"/>
      <c r="I7" s="107"/>
      <c r="J7" s="107"/>
    </row>
    <row r="8" spans="1:10" s="288" customFormat="1" ht="15.95" customHeight="1">
      <c r="A8" s="99">
        <v>1971</v>
      </c>
      <c r="B8" s="100">
        <v>13.7</v>
      </c>
      <c r="C8" s="100"/>
      <c r="D8" s="100">
        <v>13.7</v>
      </c>
    </row>
    <row r="9" spans="1:10" s="288" customFormat="1" ht="15.95" customHeight="1">
      <c r="A9" s="785">
        <v>1972</v>
      </c>
      <c r="B9" s="786">
        <v>14.6</v>
      </c>
      <c r="C9" s="786"/>
      <c r="D9" s="786">
        <v>14.6</v>
      </c>
      <c r="E9" s="292"/>
      <c r="F9" s="292"/>
      <c r="G9" s="292"/>
      <c r="H9" s="292"/>
    </row>
    <row r="10" spans="1:10" ht="15.95" customHeight="1">
      <c r="A10" s="99">
        <v>1973</v>
      </c>
      <c r="B10" s="100">
        <v>13.3</v>
      </c>
      <c r="C10" s="100"/>
      <c r="D10" s="100">
        <v>13.3</v>
      </c>
      <c r="E10" s="292"/>
      <c r="F10" s="292"/>
      <c r="G10" s="292"/>
      <c r="H10" s="292"/>
      <c r="I10" s="107"/>
      <c r="J10" s="107"/>
    </row>
    <row r="11" spans="1:10" ht="15.95" customHeight="1">
      <c r="A11" s="785">
        <v>1974</v>
      </c>
      <c r="B11" s="786">
        <v>14.2</v>
      </c>
      <c r="C11" s="786"/>
      <c r="D11" s="786">
        <v>14.2</v>
      </c>
      <c r="E11" s="292"/>
      <c r="F11" s="292"/>
      <c r="G11" s="292"/>
      <c r="H11" s="292"/>
      <c r="I11" s="291"/>
      <c r="J11" s="293"/>
    </row>
    <row r="12" spans="1:10" ht="15.95" customHeight="1">
      <c r="A12" s="99">
        <v>1975</v>
      </c>
      <c r="B12" s="100">
        <v>13</v>
      </c>
      <c r="C12" s="100"/>
      <c r="D12" s="100">
        <v>13</v>
      </c>
      <c r="E12" s="292"/>
      <c r="F12" s="292"/>
      <c r="G12" s="292"/>
      <c r="H12" s="292"/>
      <c r="I12" s="290"/>
      <c r="J12" s="293"/>
    </row>
    <row r="13" spans="1:10" ht="15.95" customHeight="1">
      <c r="A13" s="785">
        <v>1976</v>
      </c>
      <c r="B13" s="786">
        <v>14.8</v>
      </c>
      <c r="C13" s="786"/>
      <c r="D13" s="786">
        <v>14.8</v>
      </c>
      <c r="E13" s="292"/>
      <c r="F13" s="292"/>
      <c r="G13" s="292"/>
      <c r="H13" s="292"/>
      <c r="I13" s="290"/>
      <c r="J13" s="293"/>
    </row>
    <row r="14" spans="1:10" ht="15.95" customHeight="1">
      <c r="A14" s="99">
        <v>1977</v>
      </c>
      <c r="B14" s="100">
        <v>13.1</v>
      </c>
      <c r="C14" s="100"/>
      <c r="D14" s="100">
        <v>13.1</v>
      </c>
      <c r="E14" s="292"/>
      <c r="F14" s="292"/>
      <c r="G14" s="292"/>
      <c r="H14" s="292"/>
      <c r="I14" s="291"/>
      <c r="J14" s="293"/>
    </row>
    <row r="15" spans="1:10" ht="15.95" customHeight="1">
      <c r="A15" s="785">
        <v>1978</v>
      </c>
      <c r="B15" s="786">
        <v>12.8</v>
      </c>
      <c r="C15" s="786"/>
      <c r="D15" s="786">
        <v>12.8</v>
      </c>
      <c r="E15" s="292"/>
      <c r="F15" s="292"/>
      <c r="G15" s="292"/>
      <c r="H15" s="292"/>
      <c r="I15" s="290"/>
      <c r="J15" s="293"/>
    </row>
    <row r="16" spans="1:10" ht="15.95" customHeight="1">
      <c r="A16" s="99">
        <v>1979</v>
      </c>
      <c r="B16" s="100">
        <v>10.3</v>
      </c>
      <c r="C16" s="100"/>
      <c r="D16" s="100">
        <v>10.3</v>
      </c>
      <c r="E16" s="292"/>
      <c r="F16" s="292"/>
      <c r="G16" s="292"/>
      <c r="H16" s="292"/>
      <c r="I16" s="290"/>
      <c r="J16" s="293"/>
    </row>
    <row r="17" spans="1:10" ht="15.95" customHeight="1">
      <c r="A17" s="785">
        <v>1980</v>
      </c>
      <c r="B17" s="786">
        <v>10</v>
      </c>
      <c r="C17" s="786"/>
      <c r="D17" s="786">
        <v>10</v>
      </c>
      <c r="E17" s="292"/>
      <c r="F17" s="292"/>
      <c r="G17" s="292"/>
      <c r="H17" s="292"/>
      <c r="I17" s="290"/>
      <c r="J17" s="293"/>
    </row>
    <row r="18" spans="1:10" ht="15.95" customHeight="1">
      <c r="A18" s="99">
        <v>1981</v>
      </c>
      <c r="B18" s="100">
        <v>7.6</v>
      </c>
      <c r="C18" s="100"/>
      <c r="D18" s="100">
        <v>7.6</v>
      </c>
      <c r="E18" s="292"/>
      <c r="F18" s="292"/>
      <c r="G18" s="292"/>
      <c r="H18" s="292"/>
      <c r="I18" s="292"/>
      <c r="J18" s="294"/>
    </row>
    <row r="19" spans="1:10" ht="15.95" customHeight="1">
      <c r="A19" s="785">
        <v>1982</v>
      </c>
      <c r="B19" s="786">
        <v>6.5</v>
      </c>
      <c r="C19" s="786"/>
      <c r="D19" s="786">
        <v>6.5</v>
      </c>
      <c r="E19" s="292"/>
      <c r="F19" s="292"/>
      <c r="G19" s="292"/>
      <c r="H19" s="292"/>
      <c r="I19" s="292"/>
      <c r="J19" s="294"/>
    </row>
    <row r="20" spans="1:10" ht="15.95" customHeight="1">
      <c r="A20" s="99">
        <v>1983</v>
      </c>
      <c r="B20" s="100">
        <v>6.503333333333333</v>
      </c>
      <c r="C20" s="100"/>
      <c r="D20" s="100">
        <v>6.503333333333333</v>
      </c>
      <c r="E20" s="292"/>
      <c r="F20" s="292"/>
      <c r="G20" s="292"/>
      <c r="H20" s="292"/>
      <c r="I20" s="292"/>
      <c r="J20" s="294"/>
    </row>
    <row r="21" spans="1:10" ht="15.95" customHeight="1">
      <c r="A21" s="785">
        <v>1984</v>
      </c>
      <c r="B21" s="786">
        <v>6.1380555555555558</v>
      </c>
      <c r="C21" s="786"/>
      <c r="D21" s="786">
        <v>6.1380555555555558</v>
      </c>
      <c r="E21" s="292"/>
      <c r="F21" s="292"/>
      <c r="G21" s="292"/>
      <c r="H21" s="292"/>
      <c r="I21" s="290"/>
      <c r="J21" s="293"/>
    </row>
    <row r="22" spans="1:10" ht="15.95" customHeight="1">
      <c r="A22" s="99">
        <v>1985</v>
      </c>
      <c r="B22" s="100">
        <v>6.5858333333333334</v>
      </c>
      <c r="C22" s="100"/>
      <c r="D22" s="100">
        <v>6.5858333333333334</v>
      </c>
      <c r="E22" s="292"/>
      <c r="F22" s="292"/>
      <c r="G22" s="292"/>
      <c r="H22" s="292"/>
      <c r="I22" s="291"/>
      <c r="J22" s="295"/>
    </row>
    <row r="23" spans="1:10" ht="15.95" customHeight="1">
      <c r="A23" s="785">
        <v>1986</v>
      </c>
      <c r="B23" s="786">
        <v>7.6102777777777773</v>
      </c>
      <c r="C23" s="786"/>
      <c r="D23" s="786">
        <v>7.6102777777777773</v>
      </c>
      <c r="E23" s="292"/>
      <c r="F23" s="292"/>
      <c r="G23" s="292"/>
      <c r="H23" s="292"/>
      <c r="I23" s="107"/>
      <c r="J23" s="107"/>
    </row>
    <row r="24" spans="1:10" ht="15.95" customHeight="1">
      <c r="A24" s="99">
        <v>1987</v>
      </c>
      <c r="B24" s="100">
        <v>9.3294444444444427</v>
      </c>
      <c r="C24" s="100"/>
      <c r="D24" s="100">
        <v>9.3294444444444427</v>
      </c>
      <c r="E24" s="292"/>
      <c r="F24" s="292"/>
      <c r="G24" s="292"/>
      <c r="H24" s="292"/>
    </row>
    <row r="25" spans="1:10" ht="15.95" customHeight="1">
      <c r="A25" s="785">
        <v>1988</v>
      </c>
      <c r="B25" s="786">
        <v>7.7922222222222217</v>
      </c>
      <c r="C25" s="786"/>
      <c r="D25" s="786">
        <v>7.7922222222222217</v>
      </c>
      <c r="E25" s="292"/>
      <c r="F25" s="292"/>
      <c r="G25" s="292"/>
      <c r="H25" s="292"/>
      <c r="I25" s="104"/>
      <c r="J25" s="104"/>
    </row>
    <row r="26" spans="1:10" ht="15.95" customHeight="1">
      <c r="A26" s="99">
        <v>1989</v>
      </c>
      <c r="B26" s="100">
        <v>7.9827777777777778</v>
      </c>
      <c r="C26" s="100"/>
      <c r="D26" s="100">
        <v>7.9827777777777778</v>
      </c>
      <c r="E26" s="292"/>
      <c r="F26" s="292"/>
      <c r="G26" s="292"/>
      <c r="H26" s="292"/>
    </row>
    <row r="27" spans="1:10" ht="15.95" customHeight="1">
      <c r="A27" s="785">
        <v>1990</v>
      </c>
      <c r="B27" s="786">
        <v>7.9127777777777775</v>
      </c>
      <c r="C27" s="786">
        <v>6.8273189257744704</v>
      </c>
      <c r="D27" s="786">
        <v>14.740096703552247</v>
      </c>
      <c r="E27" s="292"/>
      <c r="F27" s="292"/>
      <c r="G27" s="292"/>
      <c r="H27" s="292"/>
    </row>
    <row r="28" spans="1:10" ht="15.95" customHeight="1">
      <c r="A28" s="99">
        <v>1991</v>
      </c>
      <c r="B28" s="100">
        <v>9.3541666666666661</v>
      </c>
      <c r="C28" s="100">
        <v>5.7262896469023152</v>
      </c>
      <c r="D28" s="100">
        <v>15.08045631356898</v>
      </c>
      <c r="E28" s="292"/>
      <c r="F28" s="292"/>
      <c r="G28" s="292"/>
      <c r="H28" s="292"/>
    </row>
    <row r="29" spans="1:10" ht="15.95" customHeight="1">
      <c r="A29" s="785">
        <v>1992</v>
      </c>
      <c r="B29" s="786">
        <v>10.664166666666667</v>
      </c>
      <c r="C29" s="786">
        <v>5.5909707969023152</v>
      </c>
      <c r="D29" s="786">
        <v>16.255137463568982</v>
      </c>
      <c r="E29" s="292"/>
      <c r="F29" s="292"/>
      <c r="G29" s="292"/>
      <c r="H29" s="292"/>
    </row>
    <row r="30" spans="1:10" ht="15.95" customHeight="1">
      <c r="A30" s="99">
        <v>1993</v>
      </c>
      <c r="B30" s="100">
        <v>10.701666666666666</v>
      </c>
      <c r="C30" s="100">
        <v>6.5604224057294243</v>
      </c>
      <c r="D30" s="100">
        <v>17.26208907239609</v>
      </c>
      <c r="E30" s="292"/>
      <c r="F30" s="292"/>
      <c r="G30" s="292"/>
      <c r="H30" s="292"/>
    </row>
    <row r="31" spans="1:10" ht="15.95" customHeight="1">
      <c r="A31" s="785">
        <v>1994</v>
      </c>
      <c r="B31" s="786">
        <v>12.614722222222223</v>
      </c>
      <c r="C31" s="786">
        <v>6.7320553398743916</v>
      </c>
      <c r="D31" s="786">
        <v>19.346777562096616</v>
      </c>
      <c r="E31" s="292"/>
      <c r="F31" s="292"/>
      <c r="G31" s="292"/>
      <c r="H31" s="292"/>
    </row>
    <row r="32" spans="1:10" ht="15.95" customHeight="1">
      <c r="A32" s="99">
        <v>1995</v>
      </c>
      <c r="B32" s="100">
        <v>12.403333333333332</v>
      </c>
      <c r="C32" s="100">
        <v>6.8842295578703103</v>
      </c>
      <c r="D32" s="100">
        <v>19.287562891203642</v>
      </c>
    </row>
    <row r="33" spans="1:4" ht="15.95" customHeight="1">
      <c r="A33" s="785">
        <v>1996</v>
      </c>
      <c r="B33" s="786">
        <v>13.138611111111111</v>
      </c>
      <c r="C33" s="786">
        <v>6.9827128656106776</v>
      </c>
      <c r="D33" s="786">
        <v>20.12132397672179</v>
      </c>
    </row>
    <row r="34" spans="1:4" ht="15.95" customHeight="1">
      <c r="A34" s="99">
        <v>1997</v>
      </c>
      <c r="B34" s="100">
        <v>15.584444444444443</v>
      </c>
      <c r="C34" s="100">
        <v>7.1429878484400611</v>
      </c>
      <c r="D34" s="100">
        <v>22.727432292884505</v>
      </c>
    </row>
    <row r="35" spans="1:4" ht="15.95" customHeight="1">
      <c r="A35" s="785">
        <v>1998</v>
      </c>
      <c r="B35" s="786">
        <v>17.782499999999999</v>
      </c>
      <c r="C35" s="786">
        <v>6.8854543159065997</v>
      </c>
      <c r="D35" s="786">
        <v>24.667954315906599</v>
      </c>
    </row>
    <row r="36" spans="1:4" ht="15.95" customHeight="1">
      <c r="A36" s="99">
        <v>1999</v>
      </c>
      <c r="B36" s="100">
        <v>17.37</v>
      </c>
      <c r="C36" s="100">
        <v>7.078172490073924</v>
      </c>
      <c r="D36" s="100">
        <v>24.448172490073926</v>
      </c>
    </row>
    <row r="37" spans="1:4" ht="15.95" customHeight="1">
      <c r="A37" s="785">
        <v>2000</v>
      </c>
      <c r="B37" s="786">
        <v>16.873888888888885</v>
      </c>
      <c r="C37" s="786">
        <v>8.1191197305407066</v>
      </c>
      <c r="D37" s="786">
        <v>24.993008619429592</v>
      </c>
    </row>
    <row r="38" spans="1:4" ht="15.95" customHeight="1">
      <c r="A38" s="99">
        <v>2001</v>
      </c>
      <c r="B38" s="100">
        <v>16.156944444444445</v>
      </c>
      <c r="C38" s="100">
        <v>7.6322780720991998</v>
      </c>
      <c r="D38" s="100">
        <v>23.789222516543646</v>
      </c>
    </row>
    <row r="39" spans="1:4" ht="15.95" customHeight="1">
      <c r="A39" s="785">
        <v>2002</v>
      </c>
      <c r="B39" s="786">
        <v>14.253333333333332</v>
      </c>
      <c r="C39" s="786">
        <v>6.7741437375530413</v>
      </c>
      <c r="D39" s="786">
        <v>21.027477070886373</v>
      </c>
    </row>
    <row r="40" spans="1:4" ht="15.95" customHeight="1">
      <c r="A40" s="99">
        <v>2003</v>
      </c>
      <c r="B40" s="100">
        <v>19.154166666666669</v>
      </c>
      <c r="C40" s="100">
        <v>6.5834851334030731</v>
      </c>
      <c r="D40" s="100">
        <v>25.737651800069742</v>
      </c>
    </row>
    <row r="41" spans="1:4" ht="15.95" customHeight="1">
      <c r="A41" s="785">
        <v>2004</v>
      </c>
      <c r="B41" s="786">
        <v>22.526944444444446</v>
      </c>
      <c r="C41" s="786">
        <v>7.2969497836920212</v>
      </c>
      <c r="D41" s="786">
        <v>29.823894228136467</v>
      </c>
    </row>
    <row r="42" spans="1:4" ht="15.95" customHeight="1">
      <c r="A42" s="99">
        <v>2005</v>
      </c>
      <c r="B42" s="100">
        <v>23.126666666666669</v>
      </c>
      <c r="C42" s="100">
        <v>7.8091666666666661</v>
      </c>
      <c r="D42" s="100">
        <v>30.935833333333335</v>
      </c>
    </row>
    <row r="43" spans="1:4" ht="15.95" customHeight="1">
      <c r="A43" s="785">
        <v>2006</v>
      </c>
      <c r="B43" s="786">
        <v>24.855277777777779</v>
      </c>
      <c r="C43" s="786">
        <v>8.1422222222222214</v>
      </c>
      <c r="D43" s="786">
        <v>32.997500000000002</v>
      </c>
    </row>
    <row r="44" spans="1:4" ht="15.95" customHeight="1">
      <c r="A44" s="99">
        <v>2007</v>
      </c>
      <c r="B44" s="100">
        <v>24.722777777777779</v>
      </c>
      <c r="C44" s="100">
        <v>8.9366666666666656</v>
      </c>
      <c r="D44" s="100">
        <v>33.659444444444446</v>
      </c>
    </row>
    <row r="45" spans="1:4" ht="15.95" customHeight="1">
      <c r="A45" s="785">
        <v>2008</v>
      </c>
      <c r="B45" s="786">
        <v>24.313611111111108</v>
      </c>
      <c r="C45" s="786">
        <v>9.6541666666666668</v>
      </c>
      <c r="D45" s="786">
        <v>33.967777777777776</v>
      </c>
    </row>
    <row r="46" spans="1:4" ht="15.95" customHeight="1">
      <c r="A46" s="99">
        <v>2009</v>
      </c>
      <c r="B46" s="100">
        <v>25.317222222222224</v>
      </c>
      <c r="C46" s="100">
        <v>8.5486111111111107</v>
      </c>
      <c r="D46" s="100">
        <v>33.865833333333335</v>
      </c>
    </row>
    <row r="47" spans="1:4" ht="15.95" customHeight="1">
      <c r="A47" s="785">
        <v>2010</v>
      </c>
      <c r="B47" s="786">
        <v>23.385555555555555</v>
      </c>
      <c r="C47" s="786">
        <v>8.4136111111111109</v>
      </c>
      <c r="D47" s="786">
        <v>31.799166666666665</v>
      </c>
    </row>
    <row r="48" spans="1:4" ht="15.95" customHeight="1">
      <c r="A48" s="99">
        <v>2011</v>
      </c>
      <c r="B48" s="100">
        <v>20.514722222222222</v>
      </c>
      <c r="C48" s="100">
        <v>9.0697222222222234</v>
      </c>
      <c r="D48" s="100">
        <v>29.584444444444443</v>
      </c>
    </row>
    <row r="49" spans="1:10" ht="15.95" customHeight="1">
      <c r="A49" s="785">
        <v>2012</v>
      </c>
      <c r="B49" s="786">
        <v>20.153333333333332</v>
      </c>
      <c r="C49" s="786">
        <v>8.5950000000000006</v>
      </c>
      <c r="D49" s="786">
        <v>28.748333333333335</v>
      </c>
    </row>
    <row r="50" spans="1:10" ht="15.95" customHeight="1">
      <c r="A50" s="99">
        <v>2013</v>
      </c>
      <c r="B50" s="100">
        <v>19.056944444444444</v>
      </c>
      <c r="C50" s="100">
        <v>8.8186111111111121</v>
      </c>
      <c r="D50" s="100">
        <v>27.875555555555557</v>
      </c>
    </row>
    <row r="51" spans="1:10" ht="15.95" customHeight="1">
      <c r="A51" s="785">
        <v>2014</v>
      </c>
      <c r="B51" s="786">
        <v>20.479166666666668</v>
      </c>
      <c r="C51" s="786">
        <v>8.9694444444444432</v>
      </c>
      <c r="D51" s="786">
        <v>29.448611111111113</v>
      </c>
    </row>
    <row r="52" spans="1:10" ht="15.95" customHeight="1">
      <c r="A52" s="99">
        <v>2015</v>
      </c>
      <c r="B52" s="100">
        <v>21.548611111111111</v>
      </c>
      <c r="C52" s="100">
        <v>8.6444444444444439</v>
      </c>
      <c r="D52" s="100">
        <v>30.193055555555553</v>
      </c>
    </row>
    <row r="54" spans="1:10">
      <c r="A54" s="547" t="s">
        <v>27</v>
      </c>
      <c r="B54" s="605"/>
    </row>
    <row r="55" spans="1:10">
      <c r="A55" s="86" t="s">
        <v>482</v>
      </c>
      <c r="B55" s="605"/>
    </row>
    <row r="56" spans="1:10" ht="30" customHeight="1">
      <c r="A56" s="1058" t="s">
        <v>529</v>
      </c>
      <c r="B56" s="1058"/>
      <c r="C56" s="1058"/>
      <c r="D56" s="1058"/>
      <c r="E56" s="531"/>
      <c r="F56" s="531"/>
      <c r="G56" s="554"/>
      <c r="H56" s="531"/>
      <c r="I56" s="531"/>
      <c r="J56" s="531"/>
    </row>
    <row r="57" spans="1:10" ht="40.5" customHeight="1">
      <c r="A57" s="1059" t="s">
        <v>495</v>
      </c>
      <c r="B57" s="1059"/>
      <c r="C57" s="1059"/>
      <c r="D57" s="1059"/>
    </row>
  </sheetData>
  <mergeCells count="2">
    <mergeCell ref="A56:D56"/>
    <mergeCell ref="A57:D5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theme="6" tint="0.39997558519241921"/>
  </sheetPr>
  <dimension ref="A1:H47"/>
  <sheetViews>
    <sheetView zoomScaleNormal="100" workbookViewId="0">
      <pane ySplit="6" topLeftCell="A28" activePane="bottomLeft" state="frozen"/>
      <selection pane="bottomLeft" activeCell="B1" sqref="B1"/>
    </sheetView>
  </sheetViews>
  <sheetFormatPr defaultColWidth="9.1328125" defaultRowHeight="13.15"/>
  <cols>
    <col min="1" max="1" width="7.86328125" style="132" customWidth="1"/>
    <col min="2" max="4" width="18.73046875" style="132" customWidth="1"/>
    <col min="5" max="16384" width="9.1328125" style="132"/>
  </cols>
  <sheetData>
    <row r="1" spans="1:8" ht="15.95" customHeight="1">
      <c r="A1" s="524" t="str">
        <f>IF(språk=lista[[#Headers],[Svenska]],"Innehåll",IF(språk=lista[[#Headers],[English]],"Contents","FEL"))</f>
        <v>Contents</v>
      </c>
    </row>
    <row r="2" spans="1:8" ht="15.95" customHeight="1"/>
    <row r="3" spans="1:8" ht="15.95" customHeight="1">
      <c r="A3" s="395" t="str">
        <f>IFERROR(INDEX(lista[],MATCH($A5,lista[ID],0),MATCH(språk,lista[#Headers],0)),"")</f>
        <v>Road transport fuel prices, from 1980, real (2016) prices, SEK/litre</v>
      </c>
      <c r="B3" s="395"/>
      <c r="C3" s="395"/>
      <c r="D3" s="196"/>
      <c r="E3" s="196"/>
      <c r="F3" s="196"/>
      <c r="G3" s="196"/>
      <c r="H3" s="196"/>
    </row>
    <row r="4" spans="1:8" s="287" customFormat="1" ht="15.95" customHeight="1">
      <c r="A4" s="395"/>
      <c r="B4" s="286"/>
      <c r="C4" s="286"/>
      <c r="D4" s="286"/>
      <c r="E4" s="286"/>
      <c r="F4" s="286"/>
      <c r="G4" s="286"/>
      <c r="H4" s="286"/>
    </row>
    <row r="5" spans="1:8" ht="15.95" hidden="1" customHeight="1">
      <c r="A5" s="132">
        <v>33</v>
      </c>
      <c r="B5" s="132" t="s">
        <v>647</v>
      </c>
      <c r="C5" s="132" t="s">
        <v>648</v>
      </c>
      <c r="D5" s="132" t="s">
        <v>649</v>
      </c>
    </row>
    <row r="6" spans="1:8" s="614" customFormat="1" ht="38.25" customHeight="1">
      <c r="A6" s="108"/>
      <c r="B6" s="195" t="str">
        <f>IFERROR(INDEX(_5.5[],MATCH(språk,_5.5[[id]:[id]],0),MATCH(B$5,_5.5[#Headers],0)),"")</f>
        <v>Petrol (95 octane)</v>
      </c>
      <c r="C6" s="195" t="str">
        <f>IFERROR(INDEX(_5.5[],MATCH(språk,_5.5[[id]:[id]],0),MATCH(C$5,_5.5[#Headers],0)),"")</f>
        <v>Diesel</v>
      </c>
      <c r="D6" s="195" t="str">
        <f>IFERROR(INDEX(_5.5[],MATCH(språk,_5.5[[id]:[id]],0),MATCH(D$5,_5.5[#Headers],0)),"")</f>
        <v>E85</v>
      </c>
    </row>
    <row r="7" spans="1:8" s="197" customFormat="1" ht="15.95" customHeight="1">
      <c r="A7" s="900">
        <v>1980</v>
      </c>
      <c r="B7" s="901"/>
      <c r="C7" s="901">
        <v>4.6831639999999997</v>
      </c>
      <c r="D7" s="902"/>
    </row>
    <row r="8" spans="1:8" s="197" customFormat="1" ht="15.95" customHeight="1">
      <c r="A8" s="319">
        <v>1981</v>
      </c>
      <c r="B8" s="320">
        <v>9.823161462979483</v>
      </c>
      <c r="C8" s="320">
        <v>5.1938554861730601</v>
      </c>
      <c r="D8" s="695"/>
    </row>
    <row r="9" spans="1:8" s="197" customFormat="1" ht="15.95" customHeight="1">
      <c r="A9" s="900">
        <v>1982</v>
      </c>
      <c r="B9" s="901">
        <v>10.036317173377157</v>
      </c>
      <c r="C9" s="901">
        <v>6.0581914543960558</v>
      </c>
      <c r="D9" s="902"/>
      <c r="H9" s="697"/>
    </row>
    <row r="10" spans="1:8" s="197" customFormat="1" ht="15.95" customHeight="1">
      <c r="A10" s="319">
        <v>1983</v>
      </c>
      <c r="B10" s="320">
        <v>9.7124441930618399</v>
      </c>
      <c r="C10" s="320">
        <v>6.0136018099547517</v>
      </c>
      <c r="D10" s="695"/>
    </row>
    <row r="11" spans="1:8" s="197" customFormat="1" ht="15.95" customHeight="1">
      <c r="A11" s="900">
        <v>1984</v>
      </c>
      <c r="B11" s="901">
        <v>9.1481857541899441</v>
      </c>
      <c r="C11" s="901">
        <v>6.2976641061452527</v>
      </c>
      <c r="D11" s="902"/>
    </row>
    <row r="12" spans="1:8" s="197" customFormat="1" ht="15.95" customHeight="1">
      <c r="A12" s="319">
        <v>1985</v>
      </c>
      <c r="B12" s="320">
        <v>9.4023738621586475</v>
      </c>
      <c r="C12" s="320">
        <v>6.2751072821846554</v>
      </c>
      <c r="D12" s="695"/>
    </row>
    <row r="13" spans="1:8" s="197" customFormat="1" ht="15.95" customHeight="1">
      <c r="A13" s="900">
        <v>1986</v>
      </c>
      <c r="B13" s="901">
        <v>7.9156849656893336</v>
      </c>
      <c r="C13" s="901">
        <v>4.540168434185901</v>
      </c>
      <c r="D13" s="902"/>
    </row>
    <row r="14" spans="1:8" s="197" customFormat="1" ht="15.95" customHeight="1">
      <c r="A14" s="319">
        <v>1987</v>
      </c>
      <c r="B14" s="320">
        <v>7.6170574850299388</v>
      </c>
      <c r="C14" s="320">
        <v>4.8696113772455085</v>
      </c>
      <c r="D14" s="695"/>
    </row>
    <row r="15" spans="1:8" s="197" customFormat="1" ht="15.95" customHeight="1">
      <c r="A15" s="900">
        <v>1988</v>
      </c>
      <c r="B15" s="901">
        <v>7.6645183927560856</v>
      </c>
      <c r="C15" s="901">
        <v>4.7813701188455004</v>
      </c>
      <c r="D15" s="902"/>
    </row>
    <row r="16" spans="1:8" s="197" customFormat="1" ht="15.95" customHeight="1">
      <c r="A16" s="319">
        <v>1989</v>
      </c>
      <c r="B16" s="320">
        <v>7.7214976076555013</v>
      </c>
      <c r="C16" s="320">
        <v>5.4168240297713988</v>
      </c>
      <c r="D16" s="695"/>
    </row>
    <row r="17" spans="1:4" s="197" customFormat="1" ht="15.95" customHeight="1">
      <c r="A17" s="900">
        <v>1990</v>
      </c>
      <c r="B17" s="901">
        <v>9.5781746871992297</v>
      </c>
      <c r="C17" s="901">
        <v>7.2788036573628494</v>
      </c>
      <c r="D17" s="902"/>
    </row>
    <row r="18" spans="1:4" s="197" customFormat="1" ht="15.95" customHeight="1">
      <c r="A18" s="319">
        <v>1991</v>
      </c>
      <c r="B18" s="320">
        <v>8.9831580105633808</v>
      </c>
      <c r="C18" s="320">
        <v>7.1865264084507041</v>
      </c>
      <c r="D18" s="695"/>
    </row>
    <row r="19" spans="1:4" s="197" customFormat="1" ht="15.95" customHeight="1">
      <c r="A19" s="900">
        <v>1992</v>
      </c>
      <c r="B19" s="876">
        <v>8.5234586919104984</v>
      </c>
      <c r="C19" s="876">
        <v>6.6989483648881247</v>
      </c>
      <c r="D19" s="902"/>
    </row>
    <row r="20" spans="1:4" ht="15.95" customHeight="1">
      <c r="A20" s="193">
        <v>1993</v>
      </c>
      <c r="B20" s="615">
        <v>9.9795152138157892</v>
      </c>
      <c r="C20" s="615">
        <v>7.8326833881578946</v>
      </c>
      <c r="D20" s="696"/>
    </row>
    <row r="21" spans="1:4" ht="15.95" customHeight="1">
      <c r="A21" s="794">
        <v>1994</v>
      </c>
      <c r="B21" s="876">
        <v>9.5756684104627752</v>
      </c>
      <c r="C21" s="876">
        <v>8.9899227364185101</v>
      </c>
      <c r="D21" s="903"/>
    </row>
    <row r="22" spans="1:4" ht="15.95" customHeight="1">
      <c r="A22" s="193">
        <v>1995</v>
      </c>
      <c r="B22" s="615">
        <v>9.4010011773940327</v>
      </c>
      <c r="C22" s="615">
        <v>8.4447566718995279</v>
      </c>
      <c r="D22" s="696"/>
    </row>
    <row r="23" spans="1:4" ht="15.95" customHeight="1">
      <c r="A23" s="794">
        <v>1996</v>
      </c>
      <c r="B23" s="876">
        <v>9.7277503906249994</v>
      </c>
      <c r="C23" s="876">
        <v>8.0961582031249986</v>
      </c>
      <c r="D23" s="903"/>
    </row>
    <row r="24" spans="1:4" ht="14.25" customHeight="1">
      <c r="A24" s="193">
        <v>1997</v>
      </c>
      <c r="B24" s="615">
        <v>10.17052506801399</v>
      </c>
      <c r="C24" s="615">
        <v>8.1782335794792083</v>
      </c>
      <c r="D24" s="696"/>
    </row>
    <row r="25" spans="1:4" ht="15.95" customHeight="1">
      <c r="A25" s="794">
        <v>1998</v>
      </c>
      <c r="B25" s="876">
        <v>9.9730856031128408</v>
      </c>
      <c r="C25" s="876">
        <v>7.7568443579766537</v>
      </c>
      <c r="D25" s="903"/>
    </row>
    <row r="26" spans="1:4" ht="15.95" customHeight="1">
      <c r="A26" s="193">
        <v>1999</v>
      </c>
      <c r="B26" s="615">
        <v>10.298380472685006</v>
      </c>
      <c r="C26" s="615">
        <v>8.1651445176288266</v>
      </c>
      <c r="D26" s="696"/>
    </row>
    <row r="27" spans="1:4" ht="15.95" customHeight="1">
      <c r="A27" s="794">
        <v>2000</v>
      </c>
      <c r="B27" s="876">
        <v>11.603647103950903</v>
      </c>
      <c r="C27" s="876">
        <v>10.244224012274646</v>
      </c>
      <c r="D27" s="903"/>
    </row>
    <row r="28" spans="1:4" ht="15.95" customHeight="1">
      <c r="A28" s="193">
        <v>2001</v>
      </c>
      <c r="B28" s="615">
        <v>11.278223886184948</v>
      </c>
      <c r="C28" s="615">
        <v>10.294933358292772</v>
      </c>
      <c r="D28" s="696"/>
    </row>
    <row r="29" spans="1:4" ht="15.95" customHeight="1">
      <c r="A29" s="794">
        <v>2002</v>
      </c>
      <c r="B29" s="876">
        <v>10.868581744868033</v>
      </c>
      <c r="C29" s="876">
        <v>9.697048387096773</v>
      </c>
      <c r="D29" s="903"/>
    </row>
    <row r="30" spans="1:4" ht="15.95" customHeight="1">
      <c r="A30" s="193">
        <v>2003</v>
      </c>
      <c r="B30" s="615">
        <v>10.763854009349156</v>
      </c>
      <c r="C30" s="615">
        <v>9.0115987055016173</v>
      </c>
      <c r="D30" s="696"/>
    </row>
    <row r="31" spans="1:4" ht="15.95" customHeight="1">
      <c r="A31" s="794">
        <v>2004</v>
      </c>
      <c r="B31" s="876">
        <v>11.390119985673355</v>
      </c>
      <c r="C31" s="876">
        <v>9.7581027936962759</v>
      </c>
      <c r="D31" s="903"/>
    </row>
    <row r="32" spans="1:4" ht="15.95" customHeight="1">
      <c r="A32" s="193">
        <v>2005</v>
      </c>
      <c r="B32" s="615">
        <v>12.560149429386595</v>
      </c>
      <c r="C32" s="615">
        <v>11.826627674750359</v>
      </c>
      <c r="D32" s="616">
        <v>8.8361159058487893</v>
      </c>
    </row>
    <row r="33" spans="1:7" ht="15.95" customHeight="1">
      <c r="A33" s="794">
        <v>2006</v>
      </c>
      <c r="B33" s="876">
        <v>12.858934979945111</v>
      </c>
      <c r="C33" s="876">
        <v>12.547203222855533</v>
      </c>
      <c r="D33" s="904">
        <v>9.1626870030258232</v>
      </c>
    </row>
    <row r="34" spans="1:7" ht="15.95" customHeight="1">
      <c r="A34" s="193">
        <v>2007</v>
      </c>
      <c r="B34" s="615">
        <v>12.689440983098688</v>
      </c>
      <c r="C34" s="615">
        <v>11.850739733571993</v>
      </c>
      <c r="D34" s="616">
        <v>8.9751925923376117</v>
      </c>
    </row>
    <row r="35" spans="1:7" ht="15.95" customHeight="1">
      <c r="A35" s="794">
        <v>2008</v>
      </c>
      <c r="B35" s="876">
        <v>13.199934133927679</v>
      </c>
      <c r="C35" s="876">
        <v>13.810457403279997</v>
      </c>
      <c r="D35" s="904">
        <v>9.2210066198729255</v>
      </c>
    </row>
    <row r="36" spans="1:7" ht="15.95" customHeight="1">
      <c r="A36" s="193">
        <v>2009</v>
      </c>
      <c r="B36" s="615">
        <v>12.734918908095841</v>
      </c>
      <c r="C36" s="615">
        <v>12.122460121471001</v>
      </c>
      <c r="D36" s="616">
        <v>10.147808516318493</v>
      </c>
    </row>
    <row r="37" spans="1:7" ht="15.95" customHeight="1">
      <c r="A37" s="905">
        <v>2010</v>
      </c>
      <c r="B37" s="876">
        <v>13.524342911751139</v>
      </c>
      <c r="C37" s="876">
        <v>12.950835694984514</v>
      </c>
      <c r="D37" s="904">
        <v>9.8851789362683729</v>
      </c>
    </row>
    <row r="38" spans="1:7" ht="15.95" customHeight="1">
      <c r="A38" s="193">
        <v>2011</v>
      </c>
      <c r="B38" s="615">
        <v>14.316214558648815</v>
      </c>
      <c r="C38" s="615">
        <v>14.316214558648815</v>
      </c>
      <c r="D38" s="616">
        <v>10.099586423915486</v>
      </c>
    </row>
    <row r="39" spans="1:7" ht="15.95" customHeight="1">
      <c r="A39" s="794">
        <v>2012</v>
      </c>
      <c r="B39" s="876">
        <v>15.086318905155952</v>
      </c>
      <c r="C39" s="876">
        <v>14.915112348822406</v>
      </c>
      <c r="D39" s="904">
        <v>10.413387014640357</v>
      </c>
    </row>
    <row r="40" spans="1:7" ht="15.95" customHeight="1">
      <c r="A40" s="193">
        <v>2013</v>
      </c>
      <c r="B40" s="616">
        <v>14.639648156403235</v>
      </c>
      <c r="C40" s="616">
        <v>14.589270839966886</v>
      </c>
      <c r="D40" s="616">
        <v>10.166142456855377</v>
      </c>
    </row>
    <row r="41" spans="1:7" ht="15.95" customHeight="1">
      <c r="A41" s="794">
        <v>2014</v>
      </c>
      <c r="B41" s="876">
        <v>14.464390889661551</v>
      </c>
      <c r="C41" s="876">
        <v>14.333171712016332</v>
      </c>
      <c r="D41" s="904">
        <v>9.629468882579987</v>
      </c>
    </row>
    <row r="42" spans="1:7" ht="15.95" customHeight="1">
      <c r="A42" s="193">
        <v>2015</v>
      </c>
      <c r="B42" s="616">
        <v>13.491318972395087</v>
      </c>
      <c r="C42" s="616">
        <v>13.077288973990745</v>
      </c>
      <c r="D42" s="616">
        <v>10.522420935056646</v>
      </c>
    </row>
    <row r="43" spans="1:7" ht="15.95" customHeight="1">
      <c r="A43" s="794">
        <v>2016</v>
      </c>
      <c r="B43" s="876">
        <v>13.200000000000001</v>
      </c>
      <c r="C43" s="876">
        <v>12.770000000000001</v>
      </c>
      <c r="D43" s="904">
        <v>10.86</v>
      </c>
    </row>
    <row r="44" spans="1:7" ht="15.95" customHeight="1">
      <c r="B44" s="415"/>
      <c r="C44" s="415"/>
      <c r="D44" s="415"/>
      <c r="E44" s="415"/>
      <c r="F44" s="415"/>
      <c r="G44" s="415"/>
    </row>
    <row r="45" spans="1:7">
      <c r="A45" s="132" t="s">
        <v>227</v>
      </c>
      <c r="B45" s="415"/>
      <c r="C45" s="415"/>
      <c r="D45" s="415"/>
    </row>
    <row r="46" spans="1:7">
      <c r="A46" s="1060" t="s">
        <v>492</v>
      </c>
      <c r="B46" s="1060"/>
      <c r="C46" s="1060"/>
      <c r="D46" s="1060"/>
    </row>
    <row r="47" spans="1:7">
      <c r="A47" s="132" t="s">
        <v>497</v>
      </c>
    </row>
  </sheetData>
  <mergeCells count="1">
    <mergeCell ref="A46:D4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theme="0"/>
  </sheetPr>
  <dimension ref="A1:M65"/>
  <sheetViews>
    <sheetView zoomScaleNormal="100" workbookViewId="0">
      <pane ySplit="6" topLeftCell="A7" activePane="bottomLeft" state="frozen"/>
      <selection pane="bottomLeft" activeCell="E1" sqref="E1"/>
    </sheetView>
  </sheetViews>
  <sheetFormatPr defaultColWidth="8" defaultRowHeight="13.15"/>
  <cols>
    <col min="1" max="1" width="8.1328125" style="118" customWidth="1"/>
    <col min="2" max="2" width="7.265625" style="115" bestFit="1" customWidth="1"/>
    <col min="3" max="3" width="10.265625" style="115" bestFit="1" customWidth="1"/>
    <col min="4" max="4" width="11.265625" style="115" bestFit="1" customWidth="1"/>
    <col min="5" max="5" width="15.3984375" style="115" bestFit="1" customWidth="1"/>
    <col min="6" max="6" width="10" style="115" customWidth="1"/>
    <col min="7" max="7" width="9.265625" style="116" customWidth="1"/>
    <col min="8" max="8" width="9.59765625" style="110" bestFit="1" customWidth="1"/>
    <col min="9" max="9" width="8.1328125" style="110" bestFit="1" customWidth="1"/>
    <col min="10" max="10" width="8" style="110"/>
    <col min="11" max="11" width="8.1328125" style="110" bestFit="1" customWidth="1"/>
    <col min="12" max="12" width="8" style="110"/>
    <col min="13" max="13" width="8.3984375" style="110" bestFit="1" customWidth="1"/>
    <col min="14" max="16384" width="8" style="110"/>
  </cols>
  <sheetData>
    <row r="1" spans="1:10" ht="15.95" customHeight="1">
      <c r="A1" s="524" t="str">
        <f>IF(språk=lista[[#Headers],[Svenska]],"Innehåll",IF(språk=lista[[#Headers],[English]],"Contents","FEL"))</f>
        <v>Contents</v>
      </c>
    </row>
    <row r="2" spans="1:10" ht="15.95" customHeight="1"/>
    <row r="3" spans="1:10" ht="15.95" customHeight="1">
      <c r="A3" s="416" t="str">
        <f>IFERROR(INDEX(lista[],MATCH($A5,lista[ID],0),MATCH(språk,lista[#Headers],0)),"")</f>
        <v>Electricity use, by sector, from 1970, TWh</v>
      </c>
      <c r="B3" s="416"/>
      <c r="C3" s="416"/>
      <c r="D3" s="416"/>
      <c r="E3" s="416"/>
      <c r="F3" s="416"/>
      <c r="G3" s="416"/>
    </row>
    <row r="4" spans="1:10" s="560" customFormat="1" ht="15.95" customHeight="1">
      <c r="A4" s="312"/>
      <c r="B4" s="312"/>
      <c r="C4" s="312"/>
      <c r="D4" s="312"/>
      <c r="E4" s="312"/>
      <c r="F4" s="312"/>
      <c r="G4" s="312"/>
    </row>
    <row r="5" spans="1:10" s="632" customFormat="1" ht="15.95" hidden="1" customHeight="1">
      <c r="A5" s="632">
        <v>35</v>
      </c>
      <c r="B5" s="633" t="s">
        <v>647</v>
      </c>
      <c r="C5" s="633" t="s">
        <v>648</v>
      </c>
      <c r="D5" s="633" t="s">
        <v>649</v>
      </c>
      <c r="E5" s="633" t="s">
        <v>650</v>
      </c>
      <c r="F5" s="633" t="s">
        <v>651</v>
      </c>
      <c r="G5" s="634"/>
    </row>
    <row r="6" spans="1:10" ht="27.95" customHeight="1">
      <c r="A6" s="111"/>
      <c r="B6" s="417" t="str">
        <f>IFERROR(INDEX(_6.1[],MATCH(språk,_6.1[[id]:[id]],0),MATCH(B$5,_6.1[#Headers],0)),"")</f>
        <v>Industry</v>
      </c>
      <c r="C6" s="417" t="str">
        <f>IFERROR(INDEX(_6.1[],MATCH(språk,_6.1[[id]:[id]],0),MATCH(C$5,_6.1[#Headers],0)),"")</f>
        <v>Transport</v>
      </c>
      <c r="D6" s="417" t="str">
        <f>IFERROR(INDEX(_6.1[],MATCH(språk,_6.1[[id]:[id]],0),MATCH(D$5,_6.1[#Headers],0)),"")</f>
        <v>Residential and services etc.</v>
      </c>
      <c r="E6" s="417" t="str">
        <f>IFERROR(INDEX(_6.1[],MATCH(språk,_6.1[[id]:[id]],0),MATCH(E$5,_6.1[#Headers],0)),"")</f>
        <v>District heating, refineries etc.</v>
      </c>
      <c r="F6" s="417" t="str">
        <f>IFERROR(INDEX(_6.1[],MATCH(språk,_6.1[[id]:[id]],0),MATCH(F$5,_6.1[#Headers],0)),"")</f>
        <v>Distribution losses</v>
      </c>
      <c r="G6" s="532" t="str">
        <f>IF(språk=lista[[#Headers],[Svenska]],"Totalt",IF(språk=lista[[#Headers],[English]],"Total","FEL"))</f>
        <v>Total</v>
      </c>
      <c r="J6" s="560"/>
    </row>
    <row r="7" spans="1:10" ht="15.95" customHeight="1">
      <c r="A7" s="788">
        <v>1970</v>
      </c>
      <c r="B7" s="789">
        <v>33</v>
      </c>
      <c r="C7" s="789">
        <v>2.1</v>
      </c>
      <c r="D7" s="789">
        <v>22</v>
      </c>
      <c r="E7" s="789">
        <v>0.6</v>
      </c>
      <c r="F7" s="789">
        <v>5.8</v>
      </c>
      <c r="G7" s="790">
        <v>63.5</v>
      </c>
      <c r="H7" s="246"/>
    </row>
    <row r="8" spans="1:10" ht="15.95" customHeight="1">
      <c r="A8" s="112">
        <v>1971</v>
      </c>
      <c r="B8" s="113">
        <v>33.9</v>
      </c>
      <c r="C8" s="113">
        <v>1.9</v>
      </c>
      <c r="D8" s="113">
        <v>24.3</v>
      </c>
      <c r="E8" s="113">
        <v>0.6</v>
      </c>
      <c r="F8" s="113">
        <v>6.3</v>
      </c>
      <c r="G8" s="114">
        <v>67</v>
      </c>
      <c r="H8" s="246"/>
    </row>
    <row r="9" spans="1:10" ht="15.95" customHeight="1">
      <c r="A9" s="788">
        <v>1972</v>
      </c>
      <c r="B9" s="789">
        <v>35.5</v>
      </c>
      <c r="C9" s="789">
        <v>2</v>
      </c>
      <c r="D9" s="789">
        <v>26.7</v>
      </c>
      <c r="E9" s="789">
        <v>0.7</v>
      </c>
      <c r="F9" s="789">
        <v>6.9</v>
      </c>
      <c r="G9" s="790">
        <v>71.800000000000011</v>
      </c>
      <c r="H9" s="246"/>
    </row>
    <row r="10" spans="1:10" ht="15.95" customHeight="1">
      <c r="A10" s="112">
        <v>1973</v>
      </c>
      <c r="B10" s="113">
        <v>38.5</v>
      </c>
      <c r="C10" s="113">
        <v>2.1</v>
      </c>
      <c r="D10" s="113">
        <v>28.4</v>
      </c>
      <c r="E10" s="113">
        <v>0.8</v>
      </c>
      <c r="F10" s="113">
        <v>7.7</v>
      </c>
      <c r="G10" s="114">
        <v>77.5</v>
      </c>
      <c r="H10" s="246"/>
    </row>
    <row r="11" spans="1:10" ht="15.95" customHeight="1">
      <c r="A11" s="788">
        <v>1974</v>
      </c>
      <c r="B11" s="789">
        <v>39.200000000000003</v>
      </c>
      <c r="C11" s="789">
        <v>2.1</v>
      </c>
      <c r="D11" s="789">
        <v>28.2</v>
      </c>
      <c r="E11" s="789">
        <v>0.7</v>
      </c>
      <c r="F11" s="789">
        <v>6.6</v>
      </c>
      <c r="G11" s="790">
        <v>76.8</v>
      </c>
      <c r="H11" s="246"/>
    </row>
    <row r="12" spans="1:10" ht="15.95" customHeight="1">
      <c r="A12" s="112">
        <v>1975</v>
      </c>
      <c r="B12" s="113">
        <v>38</v>
      </c>
      <c r="C12" s="113">
        <v>2</v>
      </c>
      <c r="D12" s="113">
        <v>31.7</v>
      </c>
      <c r="E12" s="113">
        <v>0.8</v>
      </c>
      <c r="F12" s="113">
        <v>7.4</v>
      </c>
      <c r="G12" s="114">
        <v>79.900000000000006</v>
      </c>
      <c r="H12" s="246"/>
    </row>
    <row r="13" spans="1:10" ht="15.95" customHeight="1">
      <c r="A13" s="788">
        <v>1976</v>
      </c>
      <c r="B13" s="789">
        <v>39.200000000000003</v>
      </c>
      <c r="C13" s="789">
        <v>2.1</v>
      </c>
      <c r="D13" s="789">
        <v>35.9</v>
      </c>
      <c r="E13" s="789">
        <v>1</v>
      </c>
      <c r="F13" s="789">
        <v>8.3000000000000007</v>
      </c>
      <c r="G13" s="790">
        <v>86.5</v>
      </c>
      <c r="H13" s="246"/>
    </row>
    <row r="14" spans="1:10" ht="15.95" customHeight="1">
      <c r="A14" s="112">
        <v>1977</v>
      </c>
      <c r="B14" s="113">
        <v>37.700000000000003</v>
      </c>
      <c r="C14" s="113">
        <v>2.1</v>
      </c>
      <c r="D14" s="113">
        <v>38.1</v>
      </c>
      <c r="E14" s="113">
        <v>1.1000000000000001</v>
      </c>
      <c r="F14" s="113">
        <v>7.1</v>
      </c>
      <c r="G14" s="114">
        <v>86.1</v>
      </c>
      <c r="H14" s="246"/>
    </row>
    <row r="15" spans="1:10" ht="15.95" customHeight="1">
      <c r="A15" s="788">
        <v>1978</v>
      </c>
      <c r="B15" s="789">
        <v>38.5</v>
      </c>
      <c r="C15" s="789">
        <v>2.2000000000000002</v>
      </c>
      <c r="D15" s="789">
        <v>40.1</v>
      </c>
      <c r="E15" s="789">
        <v>1.1000000000000001</v>
      </c>
      <c r="F15" s="789">
        <v>8</v>
      </c>
      <c r="G15" s="790">
        <v>89.9</v>
      </c>
      <c r="H15" s="246"/>
    </row>
    <row r="16" spans="1:10" ht="15.95" customHeight="1">
      <c r="A16" s="112">
        <v>1979</v>
      </c>
      <c r="B16" s="113">
        <v>40.5</v>
      </c>
      <c r="C16" s="113">
        <v>2.2999999999999998</v>
      </c>
      <c r="D16" s="113">
        <v>42.5</v>
      </c>
      <c r="E16" s="113">
        <v>1.2</v>
      </c>
      <c r="F16" s="113">
        <v>7.9</v>
      </c>
      <c r="G16" s="114">
        <v>94.4</v>
      </c>
      <c r="H16" s="246"/>
    </row>
    <row r="17" spans="1:8" ht="15.95" customHeight="1">
      <c r="A17" s="788">
        <v>1980</v>
      </c>
      <c r="B17" s="789">
        <v>39.799999999999997</v>
      </c>
      <c r="C17" s="789">
        <v>2.2999999999999998</v>
      </c>
      <c r="D17" s="789">
        <v>43</v>
      </c>
      <c r="E17" s="789">
        <v>1.3</v>
      </c>
      <c r="F17" s="789">
        <v>8.1999999999999993</v>
      </c>
      <c r="G17" s="790">
        <v>94.6</v>
      </c>
      <c r="H17" s="246"/>
    </row>
    <row r="18" spans="1:8" ht="15.95" customHeight="1">
      <c r="A18" s="112">
        <v>1981</v>
      </c>
      <c r="B18" s="113">
        <v>39.799999999999997</v>
      </c>
      <c r="C18" s="113">
        <v>2.2999999999999998</v>
      </c>
      <c r="D18" s="113">
        <v>44.8</v>
      </c>
      <c r="E18" s="113">
        <v>2</v>
      </c>
      <c r="F18" s="113">
        <v>8.6</v>
      </c>
      <c r="G18" s="114">
        <v>97.499999999999986</v>
      </c>
      <c r="H18" s="246"/>
    </row>
    <row r="19" spans="1:8" ht="15.95" customHeight="1">
      <c r="A19" s="788">
        <v>1982</v>
      </c>
      <c r="B19" s="789">
        <v>39.1</v>
      </c>
      <c r="C19" s="789">
        <v>2.2999999999999998</v>
      </c>
      <c r="D19" s="789">
        <v>48.2</v>
      </c>
      <c r="E19" s="789">
        <v>2.8</v>
      </c>
      <c r="F19" s="789">
        <v>7.7</v>
      </c>
      <c r="G19" s="790">
        <v>100.1</v>
      </c>
      <c r="H19" s="246"/>
    </row>
    <row r="20" spans="1:8" ht="15.95" customHeight="1">
      <c r="A20" s="112">
        <v>1983</v>
      </c>
      <c r="B20" s="113">
        <v>42.113</v>
      </c>
      <c r="C20" s="113">
        <v>2.355</v>
      </c>
      <c r="D20" s="113">
        <v>51.230833333333329</v>
      </c>
      <c r="E20" s="113">
        <v>5.7169988888888881</v>
      </c>
      <c r="F20" s="113">
        <v>9.2449999999999992</v>
      </c>
      <c r="G20" s="114">
        <v>110.66083222222221</v>
      </c>
      <c r="H20" s="246"/>
    </row>
    <row r="21" spans="1:8" ht="15.95" customHeight="1">
      <c r="A21" s="788">
        <v>1984</v>
      </c>
      <c r="B21" s="789">
        <v>45.685000000000002</v>
      </c>
      <c r="C21" s="789">
        <v>2.4619444444444443</v>
      </c>
      <c r="D21" s="789">
        <v>54.42</v>
      </c>
      <c r="E21" s="789">
        <v>7.2776344444444439</v>
      </c>
      <c r="F21" s="789">
        <v>10.116</v>
      </c>
      <c r="G21" s="790">
        <v>119.96057888888889</v>
      </c>
      <c r="H21" s="246"/>
    </row>
    <row r="22" spans="1:8" ht="15.95" customHeight="1">
      <c r="A22" s="112">
        <v>1985</v>
      </c>
      <c r="B22" s="113">
        <v>47.985999999999997</v>
      </c>
      <c r="C22" s="113">
        <v>2.6188888888888888</v>
      </c>
      <c r="D22" s="113">
        <v>62.931111111111107</v>
      </c>
      <c r="E22" s="113">
        <v>6.3903299999999996</v>
      </c>
      <c r="F22" s="113">
        <v>10.879</v>
      </c>
      <c r="G22" s="114">
        <v>130.80533</v>
      </c>
      <c r="H22" s="246"/>
    </row>
    <row r="23" spans="1:8" ht="15.95" customHeight="1">
      <c r="A23" s="788">
        <v>1986</v>
      </c>
      <c r="B23" s="789">
        <v>47.933</v>
      </c>
      <c r="C23" s="789">
        <v>2.6150000000000002</v>
      </c>
      <c r="D23" s="789">
        <v>63.518055555555549</v>
      </c>
      <c r="E23" s="789">
        <v>5.2713333333333336</v>
      </c>
      <c r="F23" s="789">
        <v>9.6890000000000001</v>
      </c>
      <c r="G23" s="790">
        <v>129.02638888888887</v>
      </c>
      <c r="H23" s="246"/>
    </row>
    <row r="24" spans="1:8" ht="15.95" customHeight="1">
      <c r="A24" s="112">
        <v>1987</v>
      </c>
      <c r="B24" s="113">
        <v>50.994</v>
      </c>
      <c r="C24" s="113">
        <v>2.6319444444444442</v>
      </c>
      <c r="D24" s="113">
        <v>65.771111111111111</v>
      </c>
      <c r="E24" s="113">
        <v>7.7766700000000002</v>
      </c>
      <c r="F24" s="113">
        <v>10.177</v>
      </c>
      <c r="G24" s="114">
        <v>137.35072555555556</v>
      </c>
      <c r="H24" s="246"/>
    </row>
    <row r="25" spans="1:8" ht="15.95" customHeight="1">
      <c r="A25" s="788">
        <v>1988</v>
      </c>
      <c r="B25" s="789">
        <v>52.866999999999997</v>
      </c>
      <c r="C25" s="789">
        <v>2.6080555555555556</v>
      </c>
      <c r="D25" s="789">
        <v>64.471111111111114</v>
      </c>
      <c r="E25" s="789">
        <v>8.9731211111111122</v>
      </c>
      <c r="F25" s="789">
        <v>9.5879999999999992</v>
      </c>
      <c r="G25" s="790">
        <v>138.50728777777778</v>
      </c>
      <c r="H25" s="246"/>
    </row>
    <row r="26" spans="1:8" ht="15.95" customHeight="1">
      <c r="A26" s="112">
        <v>1989</v>
      </c>
      <c r="B26" s="113">
        <v>53.442999999999998</v>
      </c>
      <c r="C26" s="113">
        <v>2.5099999999999998</v>
      </c>
      <c r="D26" s="113">
        <v>63.876111111111108</v>
      </c>
      <c r="E26" s="113">
        <v>9.1310688888888887</v>
      </c>
      <c r="F26" s="113">
        <v>9.42</v>
      </c>
      <c r="G26" s="114">
        <v>138.38017999999997</v>
      </c>
      <c r="H26" s="246"/>
    </row>
    <row r="27" spans="1:8" ht="15.95" customHeight="1">
      <c r="A27" s="788">
        <v>1990</v>
      </c>
      <c r="B27" s="789">
        <v>52.993000000000002</v>
      </c>
      <c r="C27" s="789">
        <v>2.4750000000000001</v>
      </c>
      <c r="D27" s="789">
        <v>65.006944444444443</v>
      </c>
      <c r="E27" s="789">
        <v>10.327214444444445</v>
      </c>
      <c r="F27" s="789">
        <v>9.1470000000000002</v>
      </c>
      <c r="G27" s="790">
        <v>139.94915888888889</v>
      </c>
      <c r="H27" s="246"/>
    </row>
    <row r="28" spans="1:8" ht="15.95" customHeight="1">
      <c r="A28" s="112">
        <v>1991</v>
      </c>
      <c r="B28" s="113">
        <v>50.722999999999999</v>
      </c>
      <c r="C28" s="113">
        <v>2.4030555555555555</v>
      </c>
      <c r="D28" s="113">
        <v>68.89</v>
      </c>
      <c r="E28" s="113">
        <v>10.323903333333332</v>
      </c>
      <c r="F28" s="113">
        <v>8.8030000000000008</v>
      </c>
      <c r="G28" s="114">
        <v>141.14295888888887</v>
      </c>
      <c r="H28" s="246"/>
    </row>
    <row r="29" spans="1:8" ht="15.95" customHeight="1">
      <c r="A29" s="788">
        <v>1992</v>
      </c>
      <c r="B29" s="789">
        <v>49.694000000000003</v>
      </c>
      <c r="C29" s="789">
        <v>2.4719444444444445</v>
      </c>
      <c r="D29" s="789">
        <v>67.814166666666651</v>
      </c>
      <c r="E29" s="789">
        <v>9.9913644444444447</v>
      </c>
      <c r="F29" s="789">
        <v>9.6560000000000006</v>
      </c>
      <c r="G29" s="790">
        <v>139.62747555555555</v>
      </c>
      <c r="H29" s="246"/>
    </row>
    <row r="30" spans="1:8" ht="15.95" customHeight="1">
      <c r="A30" s="112">
        <v>1993</v>
      </c>
      <c r="B30" s="113">
        <v>49.353999999999999</v>
      </c>
      <c r="C30" s="113">
        <v>2.34</v>
      </c>
      <c r="D30" s="113">
        <v>69.424999999999997</v>
      </c>
      <c r="E30" s="113">
        <v>9.4848700000000008</v>
      </c>
      <c r="F30" s="113">
        <v>10.026999999999999</v>
      </c>
      <c r="G30" s="114">
        <v>140.63086999999999</v>
      </c>
      <c r="H30" s="246"/>
    </row>
    <row r="31" spans="1:8" ht="15.95" customHeight="1">
      <c r="A31" s="788">
        <v>1994</v>
      </c>
      <c r="B31" s="789">
        <v>49.777999999999999</v>
      </c>
      <c r="C31" s="789">
        <v>2.4688888888888885</v>
      </c>
      <c r="D31" s="789">
        <v>70.210277777777776</v>
      </c>
      <c r="E31" s="789">
        <v>7.1866155555555551</v>
      </c>
      <c r="F31" s="789">
        <v>9.0350000000000001</v>
      </c>
      <c r="G31" s="790">
        <v>138.67878222222222</v>
      </c>
      <c r="H31" s="246"/>
    </row>
    <row r="32" spans="1:8" ht="15.95" customHeight="1">
      <c r="A32" s="112">
        <v>1995</v>
      </c>
      <c r="B32" s="113">
        <v>51.343000000000004</v>
      </c>
      <c r="C32" s="113">
        <v>2.7180555555555554</v>
      </c>
      <c r="D32" s="113">
        <v>70.428055555555559</v>
      </c>
      <c r="E32" s="113">
        <v>7.8287866666666659</v>
      </c>
      <c r="F32" s="113">
        <v>10.1</v>
      </c>
      <c r="G32" s="114">
        <v>142.4178977777778</v>
      </c>
      <c r="H32" s="246"/>
    </row>
    <row r="33" spans="1:13" ht="15.95" customHeight="1">
      <c r="A33" s="788">
        <v>1996</v>
      </c>
      <c r="B33" s="789">
        <v>51.49</v>
      </c>
      <c r="C33" s="789">
        <v>3.0680555555555555</v>
      </c>
      <c r="D33" s="789">
        <v>71.601944444444442</v>
      </c>
      <c r="E33" s="789">
        <v>6.3448500000000001</v>
      </c>
      <c r="F33" s="789">
        <v>10.189</v>
      </c>
      <c r="G33" s="790">
        <v>142.69385</v>
      </c>
      <c r="H33" s="246"/>
    </row>
    <row r="34" spans="1:13" ht="15.95" customHeight="1">
      <c r="A34" s="112">
        <v>1997</v>
      </c>
      <c r="B34" s="113">
        <v>52.664000000000001</v>
      </c>
      <c r="C34" s="113">
        <v>2.9538888888888888</v>
      </c>
      <c r="D34" s="113">
        <v>69.571944444444441</v>
      </c>
      <c r="E34" s="113">
        <v>6.7531600000000003</v>
      </c>
      <c r="F34" s="113">
        <v>10.661</v>
      </c>
      <c r="G34" s="114">
        <v>142.60399333333334</v>
      </c>
      <c r="H34" s="246"/>
    </row>
    <row r="35" spans="1:13" ht="15.95" customHeight="1">
      <c r="A35" s="788">
        <v>1998</v>
      </c>
      <c r="B35" s="789">
        <v>53.862000000000002</v>
      </c>
      <c r="C35" s="789">
        <v>2.7788888888888885</v>
      </c>
      <c r="D35" s="789">
        <v>69.924722222222215</v>
      </c>
      <c r="E35" s="789">
        <v>6.6164944444444442</v>
      </c>
      <c r="F35" s="789">
        <v>10.856</v>
      </c>
      <c r="G35" s="790">
        <v>144.03810555555555</v>
      </c>
      <c r="H35" s="246"/>
    </row>
    <row r="36" spans="1:13" ht="15.95" customHeight="1">
      <c r="A36" s="112">
        <v>1999</v>
      </c>
      <c r="B36" s="113">
        <v>54.497</v>
      </c>
      <c r="C36" s="113">
        <v>3.016111111111111</v>
      </c>
      <c r="D36" s="113">
        <v>69.099722222222212</v>
      </c>
      <c r="E36" s="113">
        <v>6.2974622222222223</v>
      </c>
      <c r="F36" s="113">
        <v>10.57</v>
      </c>
      <c r="G36" s="114">
        <v>143.48029555555553</v>
      </c>
      <c r="H36" s="246"/>
    </row>
    <row r="37" spans="1:13" ht="15.95" customHeight="1">
      <c r="A37" s="788">
        <v>2000</v>
      </c>
      <c r="B37" s="789">
        <v>56.889000000000003</v>
      </c>
      <c r="C37" s="789">
        <v>3.1949999999999998</v>
      </c>
      <c r="D37" s="789">
        <v>68.951666666666654</v>
      </c>
      <c r="E37" s="789">
        <v>6.5346611111111113</v>
      </c>
      <c r="F37" s="789">
        <v>11.057</v>
      </c>
      <c r="G37" s="790">
        <v>146.62732777777777</v>
      </c>
      <c r="H37" s="246"/>
    </row>
    <row r="38" spans="1:13" ht="15.95" customHeight="1">
      <c r="A38" s="112">
        <v>2001</v>
      </c>
      <c r="B38" s="113">
        <v>56.247999999999998</v>
      </c>
      <c r="C38" s="113">
        <v>2.8630555555555555</v>
      </c>
      <c r="D38" s="113">
        <v>73.135833333333323</v>
      </c>
      <c r="E38" s="113">
        <v>6.301473333333333</v>
      </c>
      <c r="F38" s="113">
        <v>11.882</v>
      </c>
      <c r="G38" s="114">
        <v>150.43036222222219</v>
      </c>
      <c r="H38" s="246"/>
    </row>
    <row r="39" spans="1:13" ht="15.95" customHeight="1">
      <c r="A39" s="788">
        <v>2002</v>
      </c>
      <c r="B39" s="789">
        <v>55.661000000000001</v>
      </c>
      <c r="C39" s="789">
        <v>2.8680555555555558</v>
      </c>
      <c r="D39" s="789">
        <v>72.52</v>
      </c>
      <c r="E39" s="789">
        <v>5.7289644444444452</v>
      </c>
      <c r="F39" s="789">
        <v>11.81</v>
      </c>
      <c r="G39" s="790">
        <v>148.58802</v>
      </c>
      <c r="H39" s="246"/>
    </row>
    <row r="40" spans="1:13" ht="15.95" customHeight="1">
      <c r="A40" s="112">
        <v>2003</v>
      </c>
      <c r="B40" s="113">
        <v>54.496000000000002</v>
      </c>
      <c r="C40" s="113">
        <v>2.8388888888888886</v>
      </c>
      <c r="D40" s="113">
        <v>72.091111111111104</v>
      </c>
      <c r="E40" s="113">
        <v>5.1391433333333341</v>
      </c>
      <c r="F40" s="113">
        <v>10.574</v>
      </c>
      <c r="G40" s="114">
        <v>145.13914333333332</v>
      </c>
      <c r="H40" s="246"/>
    </row>
    <row r="41" spans="1:13" ht="15.95" customHeight="1">
      <c r="A41" s="788">
        <v>2004</v>
      </c>
      <c r="B41" s="789">
        <v>55.37</v>
      </c>
      <c r="C41" s="789">
        <v>2.99</v>
      </c>
      <c r="D41" s="789">
        <v>72.027222222222221</v>
      </c>
      <c r="E41" s="789">
        <v>5.114988888888889</v>
      </c>
      <c r="F41" s="789">
        <v>11.266</v>
      </c>
      <c r="G41" s="790">
        <v>146.7682111111111</v>
      </c>
      <c r="H41" s="246"/>
    </row>
    <row r="42" spans="1:13" ht="15.95" customHeight="1">
      <c r="A42" s="112">
        <v>2005</v>
      </c>
      <c r="B42" s="113">
        <v>55.278055555555554</v>
      </c>
      <c r="C42" s="113">
        <v>2.8177777777777777</v>
      </c>
      <c r="D42" s="113">
        <v>71.656111111111116</v>
      </c>
      <c r="E42" s="113">
        <v>5.0023388888888887</v>
      </c>
      <c r="F42" s="113">
        <v>12.068888888888889</v>
      </c>
      <c r="G42" s="114">
        <v>146.82317222222224</v>
      </c>
      <c r="H42" s="246"/>
    </row>
    <row r="43" spans="1:13" ht="15.95" customHeight="1">
      <c r="A43" s="788">
        <v>2006</v>
      </c>
      <c r="B43" s="789">
        <v>56.508333333333326</v>
      </c>
      <c r="C43" s="789">
        <v>2.8849999999999998</v>
      </c>
      <c r="D43" s="789">
        <v>71.394722222222214</v>
      </c>
      <c r="E43" s="789">
        <v>4.6916416666666665</v>
      </c>
      <c r="F43" s="789">
        <v>11.294722222222223</v>
      </c>
      <c r="G43" s="790">
        <v>146.77441944444442</v>
      </c>
      <c r="H43" s="246"/>
    </row>
    <row r="44" spans="1:13" ht="15.95" customHeight="1">
      <c r="A44" s="112">
        <v>2007</v>
      </c>
      <c r="B44" s="113">
        <v>57.456388888888888</v>
      </c>
      <c r="C44" s="113">
        <v>2.4211111111111108</v>
      </c>
      <c r="D44" s="113">
        <v>69.192499999999995</v>
      </c>
      <c r="E44" s="113">
        <v>4.9857611111111106</v>
      </c>
      <c r="F44" s="113">
        <v>10.985277777777778</v>
      </c>
      <c r="G44" s="114">
        <v>145.04103888888889</v>
      </c>
      <c r="H44" s="246"/>
    </row>
    <row r="45" spans="1:13" ht="15.95" customHeight="1">
      <c r="A45" s="788">
        <v>2008</v>
      </c>
      <c r="B45" s="789">
        <v>55.468611111111109</v>
      </c>
      <c r="C45" s="789">
        <v>2.3608333333333333</v>
      </c>
      <c r="D45" s="789">
        <v>68.196666666666658</v>
      </c>
      <c r="E45" s="789">
        <v>4.5928750000000003</v>
      </c>
      <c r="F45" s="789">
        <v>10.987222222222222</v>
      </c>
      <c r="G45" s="790">
        <v>141.60620833333331</v>
      </c>
      <c r="H45" s="246"/>
    </row>
    <row r="46" spans="1:13" ht="15.95" customHeight="1">
      <c r="A46" s="112">
        <v>2009</v>
      </c>
      <c r="B46" s="113">
        <v>49.536388888888894</v>
      </c>
      <c r="C46" s="113">
        <v>2.4422222222222221</v>
      </c>
      <c r="D46" s="113">
        <v>71.416388888888875</v>
      </c>
      <c r="E46" s="113">
        <v>4.6274722222222229</v>
      </c>
      <c r="F46" s="113">
        <v>10.225</v>
      </c>
      <c r="G46" s="114">
        <v>138.2474722222222</v>
      </c>
      <c r="H46" s="246"/>
      <c r="I46" s="296"/>
      <c r="J46" s="296"/>
      <c r="K46" s="296"/>
      <c r="L46" s="296"/>
      <c r="M46" s="296"/>
    </row>
    <row r="47" spans="1:13" ht="15.95" customHeight="1">
      <c r="A47" s="896">
        <v>2010</v>
      </c>
      <c r="B47" s="897">
        <v>52.600833333333327</v>
      </c>
      <c r="C47" s="898">
        <v>2.4052777777777776</v>
      </c>
      <c r="D47" s="897">
        <v>74.656388888888884</v>
      </c>
      <c r="E47" s="897">
        <v>4.6562972222222214</v>
      </c>
      <c r="F47" s="897">
        <v>11.071944444444444</v>
      </c>
      <c r="G47" s="899">
        <v>145.39074166666666</v>
      </c>
      <c r="I47" s="296"/>
      <c r="J47" s="296"/>
      <c r="K47" s="296"/>
      <c r="L47" s="296"/>
      <c r="M47" s="296"/>
    </row>
    <row r="48" spans="1:13" ht="15.95" customHeight="1">
      <c r="A48" s="303">
        <v>2011</v>
      </c>
      <c r="B48" s="304">
        <v>53.052500000000002</v>
      </c>
      <c r="C48" s="304">
        <v>2.6397222222222223</v>
      </c>
      <c r="D48" s="304">
        <v>69.628611111111113</v>
      </c>
      <c r="E48" s="304">
        <v>4.4129250000000004</v>
      </c>
      <c r="F48" s="304">
        <v>10.215277777777777</v>
      </c>
      <c r="G48" s="321">
        <v>139.9490361111111</v>
      </c>
      <c r="H48" s="246"/>
      <c r="I48" s="296"/>
      <c r="J48" s="296"/>
      <c r="K48" s="296"/>
      <c r="L48" s="296"/>
      <c r="M48" s="296"/>
    </row>
    <row r="49" spans="1:13" ht="15.95" customHeight="1">
      <c r="A49" s="896">
        <v>2012</v>
      </c>
      <c r="B49" s="897">
        <v>52.494999999999997</v>
      </c>
      <c r="C49" s="897">
        <v>2.6844444444444444</v>
      </c>
      <c r="D49" s="897">
        <v>71.245555555555569</v>
      </c>
      <c r="E49" s="897">
        <v>4.9880666666666675</v>
      </c>
      <c r="F49" s="897">
        <v>11.364444444444443</v>
      </c>
      <c r="G49" s="899">
        <v>142.77751111111112</v>
      </c>
      <c r="H49" s="246"/>
      <c r="I49" s="296"/>
      <c r="J49" s="296"/>
      <c r="K49" s="296"/>
      <c r="L49" s="296"/>
      <c r="M49" s="296"/>
    </row>
    <row r="50" spans="1:13" ht="15.95" customHeight="1">
      <c r="A50" s="303">
        <v>2013</v>
      </c>
      <c r="B50" s="304">
        <v>50.951388888888893</v>
      </c>
      <c r="C50" s="304">
        <v>2.7502777777777778</v>
      </c>
      <c r="D50" s="304">
        <v>70.90638888888887</v>
      </c>
      <c r="E50" s="304">
        <v>4.4336305555555544</v>
      </c>
      <c r="F50" s="304">
        <v>10.486666666666666</v>
      </c>
      <c r="G50" s="321">
        <v>139.52835277777777</v>
      </c>
      <c r="H50" s="246"/>
      <c r="I50" s="296"/>
      <c r="J50" s="296"/>
      <c r="K50" s="296"/>
      <c r="L50" s="296"/>
      <c r="M50" s="296"/>
    </row>
    <row r="51" spans="1:13" ht="15.95" customHeight="1">
      <c r="A51" s="896">
        <v>2014</v>
      </c>
      <c r="B51" s="897">
        <v>49.651666666666664</v>
      </c>
      <c r="C51" s="897">
        <v>2.6155555555555559</v>
      </c>
      <c r="D51" s="897">
        <v>68.043333333333322</v>
      </c>
      <c r="E51" s="897">
        <v>4.764013888888889</v>
      </c>
      <c r="F51" s="897">
        <v>10.239444444444443</v>
      </c>
      <c r="G51" s="899">
        <v>135.31401388888887</v>
      </c>
      <c r="H51" s="246"/>
      <c r="I51" s="296"/>
      <c r="J51" s="296"/>
      <c r="K51" s="296"/>
      <c r="L51" s="296"/>
      <c r="M51" s="296"/>
    </row>
    <row r="52" spans="1:13" ht="15.95" customHeight="1">
      <c r="A52" s="303">
        <v>2015</v>
      </c>
      <c r="B52" s="304">
        <v>49.081666666666663</v>
      </c>
      <c r="C52" s="304">
        <v>2.5950000000000002</v>
      </c>
      <c r="D52" s="304">
        <v>70.688611111111115</v>
      </c>
      <c r="E52" s="304">
        <v>4.5407944444444448</v>
      </c>
      <c r="F52" s="304">
        <v>10.379166666666666</v>
      </c>
      <c r="G52" s="321">
        <v>137.2852388888889</v>
      </c>
      <c r="H52" s="246"/>
      <c r="I52" s="296"/>
      <c r="J52" s="296"/>
      <c r="K52" s="296"/>
      <c r="L52" s="296"/>
      <c r="M52" s="296"/>
    </row>
    <row r="53" spans="1:13" ht="15.95" customHeight="1"/>
    <row r="54" spans="1:13" ht="15.95" customHeight="1">
      <c r="A54" s="528" t="s">
        <v>27</v>
      </c>
      <c r="F54" s="529"/>
      <c r="H54" s="530"/>
    </row>
    <row r="55" spans="1:13" ht="15">
      <c r="A55" s="635" t="s">
        <v>482</v>
      </c>
      <c r="H55" s="636"/>
    </row>
    <row r="56" spans="1:13" ht="13.9">
      <c r="A56" s="560" t="s">
        <v>498</v>
      </c>
      <c r="H56" s="637"/>
    </row>
    <row r="57" spans="1:13" ht="15">
      <c r="H57" s="221"/>
    </row>
    <row r="58" spans="1:13" ht="13.9">
      <c r="H58" s="222"/>
    </row>
    <row r="59" spans="1:13" ht="15">
      <c r="H59" s="221"/>
    </row>
    <row r="60" spans="1:13" ht="13.9">
      <c r="H60" s="222"/>
    </row>
    <row r="61" spans="1:13" ht="15">
      <c r="H61" s="221"/>
    </row>
    <row r="62" spans="1:13" ht="13.9">
      <c r="H62" s="222"/>
    </row>
    <row r="63" spans="1:13" ht="15">
      <c r="H63" s="221"/>
    </row>
    <row r="64" spans="1:13" ht="13.9">
      <c r="H64" s="222"/>
    </row>
    <row r="65" spans="8:8" ht="15">
      <c r="H65" s="22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theme="0"/>
  </sheetPr>
  <dimension ref="A1:J56"/>
  <sheetViews>
    <sheetView zoomScaleNormal="100" workbookViewId="0">
      <pane ySplit="6" topLeftCell="A7" activePane="bottomLeft" state="frozen"/>
      <selection pane="bottomLeft" activeCell="D1" sqref="D1"/>
    </sheetView>
  </sheetViews>
  <sheetFormatPr defaultColWidth="8" defaultRowHeight="13.15"/>
  <cols>
    <col min="1" max="1" width="7.73046875" style="92" customWidth="1"/>
    <col min="2" max="2" width="11.265625" style="75" customWidth="1"/>
    <col min="3" max="3" width="9.86328125" style="75" customWidth="1"/>
    <col min="4" max="4" width="11" style="75" customWidth="1"/>
    <col min="5" max="5" width="13" style="75" customWidth="1"/>
    <col min="6" max="6" width="10.3984375" style="75" customWidth="1"/>
    <col min="7" max="7" width="11.265625" style="75" customWidth="1"/>
    <col min="8" max="8" width="9.86328125" style="124" customWidth="1"/>
    <col min="9" max="9" width="9" style="75" customWidth="1"/>
    <col min="10" max="16384" width="8" style="70"/>
  </cols>
  <sheetData>
    <row r="1" spans="1:10" ht="15.95" customHeight="1">
      <c r="A1" s="524" t="str">
        <f>IF(språk=lista[[#Headers],[Svenska]],"Innehåll",IF(språk=lista[[#Headers],[English]],"Contents","FEL"))</f>
        <v>Contents</v>
      </c>
    </row>
    <row r="2" spans="1:10" ht="15.95" customHeight="1"/>
    <row r="3" spans="1:10" ht="15.95" customHeight="1">
      <c r="A3" s="440" t="str">
        <f>IFERROR(INDEX(lista[],MATCH($A5,lista[ID],0),MATCH(språk,lista[#Headers],0)),"")</f>
        <v>Net electricity production, from 1970, TWh</v>
      </c>
      <c r="B3" s="440"/>
      <c r="C3" s="440"/>
      <c r="D3" s="440"/>
      <c r="E3" s="440"/>
      <c r="F3" s="440"/>
      <c r="G3" s="440"/>
      <c r="H3" s="440"/>
      <c r="I3" s="440"/>
    </row>
    <row r="4" spans="1:10" s="393" customFormat="1" ht="15.95" customHeight="1">
      <c r="A4" s="396"/>
      <c r="B4" s="630"/>
      <c r="C4" s="630"/>
      <c r="D4" s="630"/>
      <c r="E4" s="630"/>
      <c r="F4" s="630"/>
      <c r="G4" s="630"/>
      <c r="H4" s="630"/>
      <c r="I4" s="630"/>
    </row>
    <row r="5" spans="1:10" s="393" customFormat="1" ht="15.95" hidden="1" customHeight="1">
      <c r="A5" s="396">
        <v>36</v>
      </c>
      <c r="B5" s="630" t="s">
        <v>647</v>
      </c>
      <c r="C5" s="630" t="s">
        <v>648</v>
      </c>
      <c r="D5" s="630" t="s">
        <v>649</v>
      </c>
      <c r="E5" s="630" t="s">
        <v>650</v>
      </c>
      <c r="F5" s="630" t="s">
        <v>651</v>
      </c>
      <c r="G5" s="630" t="s">
        <v>652</v>
      </c>
      <c r="H5" s="630" t="s">
        <v>653</v>
      </c>
      <c r="I5" s="630" t="s">
        <v>654</v>
      </c>
    </row>
    <row r="6" spans="1:10" ht="39.75" customHeight="1">
      <c r="A6" s="1048"/>
      <c r="B6" s="1048" t="str">
        <f>IFERROR(INDEX(_6.2[],MATCH(språk,_6.2[[id]:[id]],0),MATCH(B$5,_6.2[#Headers],0)),"")</f>
        <v>Hydropower</v>
      </c>
      <c r="C6" s="1048" t="str">
        <f>IFERROR(INDEX(_6.2[],MATCH(språk,_6.2[[id]:[id]],0),MATCH(C$5,_6.2[#Headers],0)),"")</f>
        <v>Windpower</v>
      </c>
      <c r="D6" s="1048" t="str">
        <f>IFERROR(INDEX(_6.2[],MATCH(språk,_6.2[[id]:[id]],0),MATCH(D$5,_6.2[#Headers],0)),"")</f>
        <v>Nuclear power</v>
      </c>
      <c r="E6" s="1048" t="str">
        <f>IFERROR(INDEX(_6.2[],MATCH(språk,_6.2[[id]:[id]],0),MATCH(E$5,_6.2[#Headers],0)),"")</f>
        <v>CHP (industry)</v>
      </c>
      <c r="F6" s="1048" t="str">
        <f>IFERROR(INDEX(_6.2[],MATCH(språk,_6.2[[id]:[id]],0),MATCH(F$5,_6.2[#Headers],0)),"")</f>
        <v>CHP (district heating)</v>
      </c>
      <c r="G6" s="1048" t="str">
        <f>IFERROR(INDEX(_6.2[],MATCH(språk,_6.2[[id]:[id]],0),MATCH(G$5,_6.2[#Headers],0)),"")</f>
        <v>Other thermal power</v>
      </c>
      <c r="H6" s="1048" t="str">
        <f>IFERROR(INDEX(_6.2[],MATCH(språk,_6.2[[id]:[id]],0),MATCH(H$5,_6.2[#Headers],0)),"")</f>
        <v>Total</v>
      </c>
      <c r="I6" s="1048" t="str">
        <f>IFERROR(INDEX(_6.2[],MATCH(språk,_6.2[[id]:[id]],0),MATCH(I$5,_6.2[#Headers],0)),"")</f>
        <v>Import minus export</v>
      </c>
    </row>
    <row r="7" spans="1:10" ht="15.95" customHeight="1">
      <c r="A7" s="791">
        <v>1970</v>
      </c>
      <c r="B7" s="891">
        <v>40.9</v>
      </c>
      <c r="C7" s="891"/>
      <c r="D7" s="891">
        <v>0</v>
      </c>
      <c r="E7" s="891">
        <v>3.1</v>
      </c>
      <c r="F7" s="891">
        <v>2.4</v>
      </c>
      <c r="G7" s="891">
        <v>12.7</v>
      </c>
      <c r="H7" s="892">
        <v>59.099999999999994</v>
      </c>
      <c r="I7" s="891">
        <v>4.3</v>
      </c>
      <c r="J7" s="533"/>
    </row>
    <row r="8" spans="1:10" ht="15.95" customHeight="1">
      <c r="A8" s="121">
        <v>1971</v>
      </c>
      <c r="B8" s="122">
        <v>51.4</v>
      </c>
      <c r="C8" s="122"/>
      <c r="D8" s="122">
        <v>0.1</v>
      </c>
      <c r="E8" s="122">
        <v>2.8</v>
      </c>
      <c r="F8" s="122">
        <v>2.4</v>
      </c>
      <c r="G8" s="122">
        <v>8.4</v>
      </c>
      <c r="H8" s="123">
        <v>65.099999999999994</v>
      </c>
      <c r="I8" s="122">
        <v>1.9</v>
      </c>
    </row>
    <row r="9" spans="1:10" ht="15.95" customHeight="1">
      <c r="A9" s="791">
        <v>1972</v>
      </c>
      <c r="B9" s="891">
        <v>53.1</v>
      </c>
      <c r="C9" s="891"/>
      <c r="D9" s="891">
        <v>1.4</v>
      </c>
      <c r="E9" s="891">
        <v>3</v>
      </c>
      <c r="F9" s="891">
        <v>2.5</v>
      </c>
      <c r="G9" s="891">
        <v>10.1</v>
      </c>
      <c r="H9" s="892">
        <v>70.099999999999994</v>
      </c>
      <c r="I9" s="891">
        <v>1.6</v>
      </c>
    </row>
    <row r="10" spans="1:10" ht="15.95" customHeight="1">
      <c r="A10" s="121">
        <v>1973</v>
      </c>
      <c r="B10" s="122">
        <v>59.2</v>
      </c>
      <c r="C10" s="122"/>
      <c r="D10" s="122">
        <v>2</v>
      </c>
      <c r="E10" s="122">
        <v>3.6</v>
      </c>
      <c r="F10" s="122">
        <v>2.7</v>
      </c>
      <c r="G10" s="122">
        <v>9</v>
      </c>
      <c r="H10" s="123">
        <v>76.5</v>
      </c>
      <c r="I10" s="122">
        <v>1.1000000000000001</v>
      </c>
    </row>
    <row r="11" spans="1:10" ht="15.95" customHeight="1">
      <c r="A11" s="791">
        <v>1974</v>
      </c>
      <c r="B11" s="891">
        <v>56.6</v>
      </c>
      <c r="C11" s="891"/>
      <c r="D11" s="891">
        <v>1.9</v>
      </c>
      <c r="E11" s="891">
        <v>3.8</v>
      </c>
      <c r="F11" s="891">
        <v>3.1</v>
      </c>
      <c r="G11" s="891">
        <v>8.1</v>
      </c>
      <c r="H11" s="892">
        <v>73.499999999999986</v>
      </c>
      <c r="I11" s="891">
        <v>3.3</v>
      </c>
    </row>
    <row r="12" spans="1:10" ht="15.95" customHeight="1">
      <c r="A12" s="121">
        <v>1975</v>
      </c>
      <c r="B12" s="122">
        <v>57</v>
      </c>
      <c r="C12" s="122"/>
      <c r="D12" s="122">
        <v>11.4</v>
      </c>
      <c r="E12" s="122">
        <v>3.3</v>
      </c>
      <c r="F12" s="122">
        <v>3.3</v>
      </c>
      <c r="G12" s="122">
        <v>3.6</v>
      </c>
      <c r="H12" s="123">
        <v>78.599999999999994</v>
      </c>
      <c r="I12" s="122">
        <v>1.3</v>
      </c>
    </row>
    <row r="13" spans="1:10" ht="15.95" customHeight="1">
      <c r="A13" s="791">
        <v>1976</v>
      </c>
      <c r="B13" s="891">
        <v>54.2</v>
      </c>
      <c r="C13" s="891"/>
      <c r="D13" s="891">
        <v>15.2</v>
      </c>
      <c r="E13" s="891">
        <v>3.3</v>
      </c>
      <c r="F13" s="891">
        <v>3.9</v>
      </c>
      <c r="G13" s="891">
        <v>7.3999999999999995</v>
      </c>
      <c r="H13" s="892">
        <v>84.000000000000014</v>
      </c>
      <c r="I13" s="891">
        <v>2.5</v>
      </c>
    </row>
    <row r="14" spans="1:10" ht="15.95" customHeight="1">
      <c r="A14" s="121">
        <v>1977</v>
      </c>
      <c r="B14" s="122">
        <v>52.8</v>
      </c>
      <c r="C14" s="122"/>
      <c r="D14" s="122">
        <v>19</v>
      </c>
      <c r="E14" s="122">
        <v>3.4</v>
      </c>
      <c r="F14" s="122">
        <v>4.5999999999999996</v>
      </c>
      <c r="G14" s="122">
        <v>7.6</v>
      </c>
      <c r="H14" s="123">
        <v>87.399999999999991</v>
      </c>
      <c r="I14" s="122">
        <v>-1.4</v>
      </c>
    </row>
    <row r="15" spans="1:10" ht="15.95" customHeight="1">
      <c r="A15" s="791">
        <v>1978</v>
      </c>
      <c r="B15" s="891">
        <v>57.1</v>
      </c>
      <c r="C15" s="891"/>
      <c r="D15" s="891">
        <v>22.7</v>
      </c>
      <c r="E15" s="891">
        <v>4</v>
      </c>
      <c r="F15" s="891">
        <v>5.2</v>
      </c>
      <c r="G15" s="891">
        <v>1.2000000000000002</v>
      </c>
      <c r="H15" s="892">
        <v>90.2</v>
      </c>
      <c r="I15" s="891">
        <v>-0.5</v>
      </c>
    </row>
    <row r="16" spans="1:10" ht="15.95" customHeight="1">
      <c r="A16" s="121">
        <v>1979</v>
      </c>
      <c r="B16" s="122">
        <v>60.3</v>
      </c>
      <c r="C16" s="122"/>
      <c r="D16" s="122">
        <v>20.100000000000001</v>
      </c>
      <c r="E16" s="122">
        <v>4.3</v>
      </c>
      <c r="F16" s="122">
        <v>5</v>
      </c>
      <c r="G16" s="122">
        <v>2.8000000000000003</v>
      </c>
      <c r="H16" s="123">
        <v>92.5</v>
      </c>
      <c r="I16" s="122">
        <v>1.9</v>
      </c>
    </row>
    <row r="17" spans="1:9" ht="15.95" customHeight="1">
      <c r="A17" s="791">
        <v>1980</v>
      </c>
      <c r="B17" s="891">
        <v>58</v>
      </c>
      <c r="C17" s="891"/>
      <c r="D17" s="891">
        <v>25.3</v>
      </c>
      <c r="E17" s="891">
        <v>4</v>
      </c>
      <c r="F17" s="891">
        <v>5.6</v>
      </c>
      <c r="G17" s="891">
        <v>1.1000000000000001</v>
      </c>
      <c r="H17" s="892">
        <v>93.999999999999986</v>
      </c>
      <c r="I17" s="891">
        <v>0.5</v>
      </c>
    </row>
    <row r="18" spans="1:9" ht="15.95" customHeight="1">
      <c r="A18" s="121">
        <v>1981</v>
      </c>
      <c r="B18" s="122">
        <v>58.8</v>
      </c>
      <c r="C18" s="122"/>
      <c r="D18" s="122">
        <v>36</v>
      </c>
      <c r="E18" s="122">
        <v>2.6</v>
      </c>
      <c r="F18" s="122">
        <v>2.2000000000000002</v>
      </c>
      <c r="G18" s="122">
        <v>0.4</v>
      </c>
      <c r="H18" s="123">
        <v>100</v>
      </c>
      <c r="I18" s="122">
        <v>-2.6</v>
      </c>
    </row>
    <row r="19" spans="1:9" ht="15.95" customHeight="1">
      <c r="A19" s="791">
        <v>1982</v>
      </c>
      <c r="B19" s="891">
        <v>54.1</v>
      </c>
      <c r="C19" s="891"/>
      <c r="D19" s="891">
        <v>37.299999999999997</v>
      </c>
      <c r="E19" s="891">
        <v>2.4</v>
      </c>
      <c r="F19" s="891">
        <v>2.6</v>
      </c>
      <c r="G19" s="891">
        <v>0.30000000000000004</v>
      </c>
      <c r="H19" s="892">
        <v>96.7</v>
      </c>
      <c r="I19" s="891">
        <v>3.5</v>
      </c>
    </row>
    <row r="20" spans="1:9" ht="15.95" customHeight="1">
      <c r="A20" s="121">
        <v>1983</v>
      </c>
      <c r="B20" s="122">
        <v>62.575000000000003</v>
      </c>
      <c r="C20" s="122"/>
      <c r="D20" s="122">
        <v>39.055999999999997</v>
      </c>
      <c r="E20" s="122">
        <v>2.42</v>
      </c>
      <c r="F20" s="122">
        <v>1.2251099999999999</v>
      </c>
      <c r="G20" s="122">
        <v>0.44900000000000001</v>
      </c>
      <c r="H20" s="123">
        <v>105.72511</v>
      </c>
      <c r="I20" s="122">
        <v>4.9359999999999999</v>
      </c>
    </row>
    <row r="21" spans="1:9" ht="15.95" customHeight="1">
      <c r="A21" s="791">
        <v>1984</v>
      </c>
      <c r="B21" s="891">
        <v>66.858999999999995</v>
      </c>
      <c r="C21" s="891"/>
      <c r="D21" s="891">
        <v>48.51</v>
      </c>
      <c r="E21" s="891">
        <v>2.4820000000000002</v>
      </c>
      <c r="F21" s="891">
        <v>1.52969</v>
      </c>
      <c r="G21" s="891">
        <v>0.19400000000000001</v>
      </c>
      <c r="H21" s="892">
        <v>119.57469</v>
      </c>
      <c r="I21" s="891">
        <v>0.38600000000000001</v>
      </c>
    </row>
    <row r="22" spans="1:9" ht="15.95" customHeight="1">
      <c r="A22" s="121">
        <v>1985</v>
      </c>
      <c r="B22" s="122">
        <v>69.835999999999999</v>
      </c>
      <c r="C22" s="122"/>
      <c r="D22" s="122">
        <v>55.811999999999998</v>
      </c>
      <c r="E22" s="122">
        <v>2.41</v>
      </c>
      <c r="F22" s="122">
        <v>3.1903299999999999</v>
      </c>
      <c r="G22" s="122">
        <v>1.0660000000000001</v>
      </c>
      <c r="H22" s="123">
        <v>132.31432999999998</v>
      </c>
      <c r="I22" s="122">
        <v>-1.5089999999999999</v>
      </c>
    </row>
    <row r="23" spans="1:9" ht="15.95" customHeight="1">
      <c r="A23" s="791">
        <v>1986</v>
      </c>
      <c r="B23" s="891">
        <v>59.890999999999998</v>
      </c>
      <c r="C23" s="891"/>
      <c r="D23" s="891">
        <v>66.884</v>
      </c>
      <c r="E23" s="891">
        <v>2.8069999999999999</v>
      </c>
      <c r="F23" s="891">
        <v>3.4434999999999998</v>
      </c>
      <c r="G23" s="891">
        <v>0.66</v>
      </c>
      <c r="H23" s="892">
        <v>133.68549999999999</v>
      </c>
      <c r="I23" s="891">
        <v>-4.6589999999999998</v>
      </c>
    </row>
    <row r="24" spans="1:9" ht="15.95" customHeight="1">
      <c r="A24" s="121">
        <v>1987</v>
      </c>
      <c r="B24" s="122">
        <v>70.695999999999998</v>
      </c>
      <c r="C24" s="122"/>
      <c r="D24" s="122">
        <v>64.340999999999994</v>
      </c>
      <c r="E24" s="122">
        <v>2.7610000000000001</v>
      </c>
      <c r="F24" s="122">
        <v>3.2116700000000002</v>
      </c>
      <c r="G24" s="122">
        <v>0.51100000000000001</v>
      </c>
      <c r="H24" s="123">
        <v>141.52066999999997</v>
      </c>
      <c r="I24" s="122">
        <v>-4.17</v>
      </c>
    </row>
    <row r="25" spans="1:9" ht="15.95" customHeight="1">
      <c r="A25" s="791">
        <v>1988</v>
      </c>
      <c r="B25" s="891">
        <v>68.763000000000005</v>
      </c>
      <c r="C25" s="891"/>
      <c r="D25" s="891">
        <v>66.274000000000001</v>
      </c>
      <c r="E25" s="891">
        <v>2.871</v>
      </c>
      <c r="F25" s="891">
        <v>2.9420100000000002</v>
      </c>
      <c r="G25" s="891">
        <v>0.26400000000000001</v>
      </c>
      <c r="H25" s="892">
        <v>141.11401000000004</v>
      </c>
      <c r="I25" s="891">
        <v>-2.6070000000000002</v>
      </c>
    </row>
    <row r="26" spans="1:9" ht="15.95" customHeight="1">
      <c r="A26" s="121">
        <v>1989</v>
      </c>
      <c r="B26" s="122">
        <v>70.838999999999999</v>
      </c>
      <c r="C26" s="122"/>
      <c r="D26" s="122">
        <v>62.686999999999998</v>
      </c>
      <c r="E26" s="122">
        <v>2.8130000000000002</v>
      </c>
      <c r="F26" s="122">
        <v>2.4191799999999999</v>
      </c>
      <c r="G26" s="122">
        <v>9.1999999999999998E-2</v>
      </c>
      <c r="H26" s="123">
        <v>138.85018000000002</v>
      </c>
      <c r="I26" s="122">
        <v>-0.47299999999999998</v>
      </c>
    </row>
    <row r="27" spans="1:9" ht="15.95" customHeight="1">
      <c r="A27" s="791">
        <v>1990</v>
      </c>
      <c r="B27" s="891">
        <v>71.442999999999998</v>
      </c>
      <c r="C27" s="891">
        <v>6.0000000000000001E-3</v>
      </c>
      <c r="D27" s="891">
        <v>65.224999999999994</v>
      </c>
      <c r="E27" s="891">
        <v>2.585</v>
      </c>
      <c r="F27" s="891">
        <v>2.4162699999999999</v>
      </c>
      <c r="G27" s="891">
        <v>4.2000000000000003E-2</v>
      </c>
      <c r="H27" s="892">
        <v>141.71726999999998</v>
      </c>
      <c r="I27" s="891">
        <v>-1.768</v>
      </c>
    </row>
    <row r="28" spans="1:9" ht="15.95" customHeight="1">
      <c r="A28" s="121">
        <v>1991</v>
      </c>
      <c r="B28" s="122">
        <v>62.253</v>
      </c>
      <c r="C28" s="122">
        <v>1.2999999999999999E-2</v>
      </c>
      <c r="D28" s="122">
        <v>73.483999999999995</v>
      </c>
      <c r="E28" s="122">
        <v>2.9049999999999998</v>
      </c>
      <c r="F28" s="122">
        <v>3.7160700000000002</v>
      </c>
      <c r="G28" s="122">
        <v>6.6000000000000003E-2</v>
      </c>
      <c r="H28" s="123">
        <v>142.43707000000001</v>
      </c>
      <c r="I28" s="122">
        <v>-1.294</v>
      </c>
    </row>
    <row r="29" spans="1:9" ht="15.95" customHeight="1">
      <c r="A29" s="791">
        <v>1992</v>
      </c>
      <c r="B29" s="891">
        <v>73.266999999999996</v>
      </c>
      <c r="C29" s="891">
        <v>3.1E-2</v>
      </c>
      <c r="D29" s="891">
        <v>60.774000000000001</v>
      </c>
      <c r="E29" s="891">
        <v>3.089</v>
      </c>
      <c r="F29" s="891">
        <v>4.2544199999999996</v>
      </c>
      <c r="G29" s="891">
        <v>0.36799999999999999</v>
      </c>
      <c r="H29" s="892">
        <v>141.78342000000001</v>
      </c>
      <c r="I29" s="891">
        <v>-2.1560000000000001</v>
      </c>
    </row>
    <row r="30" spans="1:9" ht="15.95" customHeight="1">
      <c r="A30" s="121">
        <v>1993</v>
      </c>
      <c r="B30" s="122">
        <v>73.569999999999993</v>
      </c>
      <c r="C30" s="122">
        <v>4.8000000000000001E-2</v>
      </c>
      <c r="D30" s="122">
        <v>58.76</v>
      </c>
      <c r="E30" s="122">
        <v>3.5329999999999999</v>
      </c>
      <c r="F30" s="122">
        <v>5.0158699999999996</v>
      </c>
      <c r="G30" s="122">
        <v>0.28999999999999998</v>
      </c>
      <c r="H30" s="123">
        <v>141.21686999999997</v>
      </c>
      <c r="I30" s="122">
        <v>-0.58599999999999997</v>
      </c>
    </row>
    <row r="31" spans="1:9" ht="15.95" customHeight="1">
      <c r="A31" s="791">
        <v>1994</v>
      </c>
      <c r="B31" s="891">
        <v>58.226999999999997</v>
      </c>
      <c r="C31" s="891">
        <v>7.1999999999999995E-2</v>
      </c>
      <c r="D31" s="891">
        <v>70.085999999999999</v>
      </c>
      <c r="E31" s="891">
        <v>3.831</v>
      </c>
      <c r="F31" s="891">
        <v>5.8665600000000007</v>
      </c>
      <c r="G31" s="891">
        <v>0.33500000000000002</v>
      </c>
      <c r="H31" s="892">
        <v>138.41755999999998</v>
      </c>
      <c r="I31" s="891">
        <v>0.26100000000000001</v>
      </c>
    </row>
    <row r="32" spans="1:9" ht="15.95" customHeight="1">
      <c r="A32" s="121">
        <v>1995</v>
      </c>
      <c r="B32" s="122">
        <v>67.227000000000004</v>
      </c>
      <c r="C32" s="122">
        <v>9.9000000000000005E-2</v>
      </c>
      <c r="D32" s="122">
        <v>66.977999999999994</v>
      </c>
      <c r="E32" s="122">
        <v>3.8450000000000002</v>
      </c>
      <c r="F32" s="122">
        <v>5.76762</v>
      </c>
      <c r="G32" s="122">
        <v>0.215</v>
      </c>
      <c r="H32" s="123">
        <v>144.13162</v>
      </c>
      <c r="I32" s="122">
        <v>-1.714</v>
      </c>
    </row>
    <row r="33" spans="1:9" ht="15.95" customHeight="1">
      <c r="A33" s="791">
        <v>1996</v>
      </c>
      <c r="B33" s="891">
        <v>51.084000000000003</v>
      </c>
      <c r="C33" s="891">
        <v>0.14399999999999999</v>
      </c>
      <c r="D33" s="891">
        <v>71.361999999999995</v>
      </c>
      <c r="E33" s="891">
        <v>4.0289999999999999</v>
      </c>
      <c r="F33" s="891">
        <v>7.0858500000000006</v>
      </c>
      <c r="G33" s="891">
        <v>2.85</v>
      </c>
      <c r="H33" s="892">
        <v>136.55484999999999</v>
      </c>
      <c r="I33" s="891">
        <v>6.1390000000000002</v>
      </c>
    </row>
    <row r="34" spans="1:9" ht="15.95" customHeight="1">
      <c r="A34" s="121">
        <v>1997</v>
      </c>
      <c r="B34" s="122">
        <v>68.430000000000007</v>
      </c>
      <c r="C34" s="122">
        <v>0.20300000000000001</v>
      </c>
      <c r="D34" s="122">
        <v>66.914000000000001</v>
      </c>
      <c r="E34" s="122">
        <v>4.22</v>
      </c>
      <c r="F34" s="122">
        <v>5.5561600000000002</v>
      </c>
      <c r="G34" s="122">
        <v>0.192</v>
      </c>
      <c r="H34" s="123">
        <v>145.51516000000004</v>
      </c>
      <c r="I34" s="122">
        <v>-2.7080000000000002</v>
      </c>
    </row>
    <row r="35" spans="1:9" ht="15.95" customHeight="1">
      <c r="A35" s="791">
        <v>1998</v>
      </c>
      <c r="B35" s="891">
        <v>73.825999999999993</v>
      </c>
      <c r="C35" s="891">
        <v>0.308</v>
      </c>
      <c r="D35" s="891">
        <v>70.501000000000005</v>
      </c>
      <c r="E35" s="891">
        <v>4.0019999999999998</v>
      </c>
      <c r="F35" s="891">
        <v>6.0285500000000001</v>
      </c>
      <c r="G35" s="891">
        <v>5.8000000000000003E-2</v>
      </c>
      <c r="H35" s="892">
        <v>154.72354999999999</v>
      </c>
      <c r="I35" s="891">
        <v>-10.696999999999999</v>
      </c>
    </row>
    <row r="36" spans="1:9" ht="15.95" customHeight="1">
      <c r="A36" s="121">
        <v>1999</v>
      </c>
      <c r="B36" s="122">
        <v>70.861999999999995</v>
      </c>
      <c r="C36" s="122">
        <v>0.35799999999999998</v>
      </c>
      <c r="D36" s="122">
        <v>70.2</v>
      </c>
      <c r="E36" s="122">
        <v>3.8860000000000001</v>
      </c>
      <c r="F36" s="122">
        <v>5.6182400000000001</v>
      </c>
      <c r="G36" s="122">
        <v>3.7999999999999999E-2</v>
      </c>
      <c r="H36" s="123">
        <v>150.96224000000001</v>
      </c>
      <c r="I36" s="122">
        <v>-7.4820000000000002</v>
      </c>
    </row>
    <row r="37" spans="1:9" ht="15.95" customHeight="1">
      <c r="A37" s="791">
        <v>2000</v>
      </c>
      <c r="B37" s="891">
        <v>77.847999999999999</v>
      </c>
      <c r="C37" s="891">
        <v>0.45700000000000002</v>
      </c>
      <c r="D37" s="891">
        <v>54.771999999999998</v>
      </c>
      <c r="E37" s="891">
        <v>4.1500000000000004</v>
      </c>
      <c r="F37" s="891">
        <v>4.6705500000000004</v>
      </c>
      <c r="G37" s="891">
        <v>5.2999999999999999E-2</v>
      </c>
      <c r="H37" s="892">
        <v>141.95054999999999</v>
      </c>
      <c r="I37" s="891">
        <v>4.6769999999999996</v>
      </c>
    </row>
    <row r="38" spans="1:9" ht="15.95" customHeight="1">
      <c r="A38" s="121">
        <v>2001</v>
      </c>
      <c r="B38" s="122">
        <v>78.418000000000006</v>
      </c>
      <c r="C38" s="122">
        <v>0.48199999999999998</v>
      </c>
      <c r="D38" s="122">
        <v>69.210999999999999</v>
      </c>
      <c r="E38" s="122">
        <v>3.9180000000000001</v>
      </c>
      <c r="F38" s="122">
        <v>5.6376400000000002</v>
      </c>
      <c r="G38" s="122">
        <v>5.3999999999999999E-2</v>
      </c>
      <c r="H38" s="123">
        <v>157.72064</v>
      </c>
      <c r="I38" s="122">
        <v>-7.29</v>
      </c>
    </row>
    <row r="39" spans="1:9" ht="15.95" customHeight="1">
      <c r="A39" s="791">
        <v>2002</v>
      </c>
      <c r="B39" s="891">
        <v>65.811000000000007</v>
      </c>
      <c r="C39" s="891">
        <v>0.60799999999999998</v>
      </c>
      <c r="D39" s="891">
        <v>65.55</v>
      </c>
      <c r="E39" s="891">
        <v>4.5510000000000002</v>
      </c>
      <c r="F39" s="891">
        <v>6.2720200000000004</v>
      </c>
      <c r="G39" s="891">
        <v>0.44</v>
      </c>
      <c r="H39" s="892">
        <v>143.23201999999998</v>
      </c>
      <c r="I39" s="891">
        <v>5.3559999999999999</v>
      </c>
    </row>
    <row r="40" spans="1:9" ht="15.95" customHeight="1">
      <c r="A40" s="121">
        <v>2003</v>
      </c>
      <c r="B40" s="122">
        <v>53.018000000000001</v>
      </c>
      <c r="C40" s="122">
        <v>0.63100000000000001</v>
      </c>
      <c r="D40" s="122">
        <v>65.453999999999994</v>
      </c>
      <c r="E40" s="122">
        <v>4.7290000000000001</v>
      </c>
      <c r="F40" s="122">
        <v>7.8793100000000003</v>
      </c>
      <c r="G40" s="122">
        <v>0.59899999999999998</v>
      </c>
      <c r="H40" s="123">
        <v>132.31030999999999</v>
      </c>
      <c r="I40" s="122">
        <v>12.829000000000001</v>
      </c>
    </row>
    <row r="41" spans="1:9" ht="15.95" customHeight="1">
      <c r="A41" s="791">
        <v>2004</v>
      </c>
      <c r="B41" s="891">
        <v>60.085000000000001</v>
      </c>
      <c r="C41" s="891">
        <v>0.85</v>
      </c>
      <c r="D41" s="891">
        <v>75</v>
      </c>
      <c r="E41" s="891">
        <v>4.62</v>
      </c>
      <c r="F41" s="891">
        <v>8.2741000000000007</v>
      </c>
      <c r="G41" s="891">
        <v>4.2999999999999997E-2</v>
      </c>
      <c r="H41" s="892">
        <v>148.87210000000002</v>
      </c>
      <c r="I41" s="891">
        <v>-2.1040000000000001</v>
      </c>
    </row>
    <row r="42" spans="1:9" ht="15.95" customHeight="1">
      <c r="A42" s="121">
        <v>2005</v>
      </c>
      <c r="B42" s="122">
        <v>71.911666666666676</v>
      </c>
      <c r="C42" s="122">
        <v>0.93944444444444442</v>
      </c>
      <c r="D42" s="122">
        <v>69.460833333333326</v>
      </c>
      <c r="E42" s="122">
        <v>4.9983333333333331</v>
      </c>
      <c r="F42" s="122">
        <v>7.0556722222222223</v>
      </c>
      <c r="G42" s="122">
        <v>0.16027777777777777</v>
      </c>
      <c r="H42" s="123">
        <v>154.52622777777779</v>
      </c>
      <c r="I42" s="122">
        <v>-7.3936111111111131</v>
      </c>
    </row>
    <row r="43" spans="1:9" ht="15.95" customHeight="1">
      <c r="A43" s="791">
        <v>2006</v>
      </c>
      <c r="B43" s="891">
        <v>61.215833333333329</v>
      </c>
      <c r="C43" s="891">
        <v>0.98833333333333329</v>
      </c>
      <c r="D43" s="891">
        <v>64.984166666666667</v>
      </c>
      <c r="E43" s="891">
        <v>5.09</v>
      </c>
      <c r="F43" s="891">
        <v>7.7338638888888891</v>
      </c>
      <c r="G43" s="891">
        <v>0.30194444444444446</v>
      </c>
      <c r="H43" s="892">
        <v>140.31414166666667</v>
      </c>
      <c r="I43" s="891">
        <v>6.0511111111111111</v>
      </c>
    </row>
    <row r="44" spans="1:9" ht="15.95" customHeight="1">
      <c r="A44" s="121">
        <v>2007</v>
      </c>
      <c r="B44" s="122">
        <v>65.728611111111107</v>
      </c>
      <c r="C44" s="122">
        <v>1.4316666666666666</v>
      </c>
      <c r="D44" s="122">
        <v>64.278333333333336</v>
      </c>
      <c r="E44" s="122">
        <v>5.7602777777777785</v>
      </c>
      <c r="F44" s="122">
        <v>7.7713166666666655</v>
      </c>
      <c r="G44" s="122">
        <v>0.10027777777777777</v>
      </c>
      <c r="H44" s="123">
        <v>145.07048333333339</v>
      </c>
      <c r="I44" s="122">
        <v>1.3161111111111095</v>
      </c>
    </row>
    <row r="45" spans="1:9" ht="15.95" customHeight="1">
      <c r="A45" s="791">
        <v>2008</v>
      </c>
      <c r="B45" s="891">
        <v>68.818055555555532</v>
      </c>
      <c r="C45" s="891">
        <v>2.0005555555555556</v>
      </c>
      <c r="D45" s="891">
        <v>61.266111111111108</v>
      </c>
      <c r="E45" s="891">
        <v>5.9461111111111107</v>
      </c>
      <c r="F45" s="891">
        <v>8.0173194444444444</v>
      </c>
      <c r="G45" s="891">
        <v>0.11166666666666666</v>
      </c>
      <c r="H45" s="892">
        <v>146.15981944444442</v>
      </c>
      <c r="I45" s="891">
        <v>-1.9608333333333321</v>
      </c>
    </row>
    <row r="46" spans="1:9" ht="15.95" customHeight="1">
      <c r="A46" s="121">
        <v>2009</v>
      </c>
      <c r="B46" s="122">
        <v>65.091944444444437</v>
      </c>
      <c r="C46" s="122">
        <v>2.490277777777778</v>
      </c>
      <c r="D46" s="122">
        <v>50.022777777777776</v>
      </c>
      <c r="E46" s="122">
        <v>5.8933333333333326</v>
      </c>
      <c r="F46" s="122">
        <v>9.8805277777777771</v>
      </c>
      <c r="G46" s="122">
        <v>0.11583333333333333</v>
      </c>
      <c r="H46" s="123">
        <v>133.49469444444443</v>
      </c>
      <c r="I46" s="122">
        <v>4.6849999999999996</v>
      </c>
    </row>
    <row r="47" spans="1:9" ht="15.95" customHeight="1">
      <c r="A47" s="791">
        <v>2010</v>
      </c>
      <c r="B47" s="893">
        <v>66.728055555555528</v>
      </c>
      <c r="C47" s="891">
        <v>3.4863888888888885</v>
      </c>
      <c r="D47" s="891">
        <v>55.626666666666665</v>
      </c>
      <c r="E47" s="893">
        <v>6.2416666666666671</v>
      </c>
      <c r="F47" s="893">
        <v>12.612963888888888</v>
      </c>
      <c r="G47" s="894">
        <v>0.26611111111111108</v>
      </c>
      <c r="H47" s="895">
        <v>144.96185277777775</v>
      </c>
      <c r="I47" s="894">
        <v>2.0788888888888888</v>
      </c>
    </row>
    <row r="48" spans="1:9" ht="15.95" customHeight="1">
      <c r="A48" s="247">
        <v>2011</v>
      </c>
      <c r="B48" s="248">
        <v>66.607777777777784</v>
      </c>
      <c r="C48" s="248">
        <v>6.1102777777777773</v>
      </c>
      <c r="D48" s="248">
        <v>58.025833333333331</v>
      </c>
      <c r="E48" s="248">
        <v>5.79</v>
      </c>
      <c r="F48" s="248">
        <v>11.00653611111111</v>
      </c>
      <c r="G48" s="244">
        <v>3.9444444444444449E-2</v>
      </c>
      <c r="H48" s="305">
        <v>147.57986944444445</v>
      </c>
      <c r="I48" s="244">
        <v>-7.2330555555555547</v>
      </c>
    </row>
    <row r="49" spans="1:9" ht="15.95" customHeight="1">
      <c r="A49" s="791">
        <v>2012</v>
      </c>
      <c r="B49" s="893">
        <v>78.411111111111126</v>
      </c>
      <c r="C49" s="893">
        <v>7.165277777777777</v>
      </c>
      <c r="D49" s="893">
        <v>61.392222222222223</v>
      </c>
      <c r="E49" s="893">
        <v>6.1113888888888885</v>
      </c>
      <c r="F49" s="893">
        <v>9.3314000000000004</v>
      </c>
      <c r="G49" s="894">
        <v>5.8611111111111107E-2</v>
      </c>
      <c r="H49" s="895">
        <v>162.47001111111112</v>
      </c>
      <c r="I49" s="894">
        <v>-19.574444444444445</v>
      </c>
    </row>
    <row r="50" spans="1:9" ht="15.95" customHeight="1">
      <c r="A50" s="247">
        <v>2013</v>
      </c>
      <c r="B50" s="248">
        <v>60.934444444444438</v>
      </c>
      <c r="C50" s="248">
        <v>9.8422222222222224</v>
      </c>
      <c r="D50" s="248">
        <v>63.603333333333339</v>
      </c>
      <c r="E50" s="248">
        <v>5.6397222222222227</v>
      </c>
      <c r="F50" s="248">
        <v>9.1694638888888882</v>
      </c>
      <c r="G50" s="244">
        <v>2.6944444444444444E-2</v>
      </c>
      <c r="H50" s="305">
        <v>149.21613055555554</v>
      </c>
      <c r="I50" s="244">
        <v>-9.9605555555555565</v>
      </c>
    </row>
    <row r="51" spans="1:9" ht="15.95" customHeight="1">
      <c r="A51" s="791">
        <v>2014</v>
      </c>
      <c r="B51" s="893">
        <v>63.333333333333336</v>
      </c>
      <c r="C51" s="893">
        <v>11.234166666666667</v>
      </c>
      <c r="D51" s="893">
        <v>62.18472222222222</v>
      </c>
      <c r="E51" s="893">
        <v>5.5827777777777774</v>
      </c>
      <c r="F51" s="893">
        <v>7.6212361111111111</v>
      </c>
      <c r="G51" s="894">
        <v>1.9166666666666669E-2</v>
      </c>
      <c r="H51" s="895">
        <v>149.97540277777776</v>
      </c>
      <c r="I51" s="894">
        <v>-15.622222222222222</v>
      </c>
    </row>
    <row r="52" spans="1:9" ht="15.95" customHeight="1">
      <c r="A52" s="247">
        <v>2015</v>
      </c>
      <c r="B52" s="248">
        <v>74.805000000000021</v>
      </c>
      <c r="C52" s="248">
        <v>16.267777777777777</v>
      </c>
      <c r="D52" s="248">
        <v>54.345833333333331</v>
      </c>
      <c r="E52" s="248">
        <v>5.6127777777777776</v>
      </c>
      <c r="F52" s="248">
        <v>7.824127777777778</v>
      </c>
      <c r="G52" s="244">
        <v>2.3055555555555558E-2</v>
      </c>
      <c r="H52" s="305">
        <v>158.87857222222226</v>
      </c>
      <c r="I52" s="244">
        <v>-22.600555555555555</v>
      </c>
    </row>
    <row r="53" spans="1:9" ht="15.95" customHeight="1">
      <c r="A53" s="121"/>
      <c r="B53" s="248"/>
      <c r="C53" s="248"/>
      <c r="D53" s="248"/>
      <c r="E53" s="248"/>
      <c r="G53" s="248"/>
      <c r="H53" s="249"/>
      <c r="I53" s="248"/>
    </row>
    <row r="54" spans="1:9" ht="15.95" customHeight="1">
      <c r="A54" s="117" t="s">
        <v>27</v>
      </c>
      <c r="I54" s="248"/>
    </row>
    <row r="55" spans="1:9" ht="15.95" customHeight="1">
      <c r="A55" s="635" t="s">
        <v>482</v>
      </c>
    </row>
    <row r="56" spans="1:9">
      <c r="A56" s="92" t="s">
        <v>499</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tabColor theme="0"/>
  </sheetPr>
  <dimension ref="A1:J41"/>
  <sheetViews>
    <sheetView showGridLines="0" zoomScaleNormal="100" workbookViewId="0">
      <pane ySplit="6" topLeftCell="A7" activePane="bottomLeft" state="frozen"/>
      <selection pane="bottomLeft" activeCell="C1" sqref="C1"/>
    </sheetView>
  </sheetViews>
  <sheetFormatPr defaultColWidth="8" defaultRowHeight="13.15"/>
  <cols>
    <col min="1" max="1" width="7.59765625" style="92" customWidth="1"/>
    <col min="2" max="2" width="11.73046875" style="75" customWidth="1"/>
    <col min="3" max="3" width="14" style="75" customWidth="1"/>
    <col min="4" max="4" width="9.59765625" style="75" customWidth="1"/>
    <col min="5" max="7" width="11.73046875" style="75" customWidth="1"/>
    <col min="8" max="16384" width="8" style="70"/>
  </cols>
  <sheetData>
    <row r="1" spans="1:10" ht="15.95" customHeight="1">
      <c r="A1" s="524" t="str">
        <f>IF(språk=lista[[#Headers],[Svenska]],"Innehåll",IF(språk=lista[[#Headers],[English]],"Contents","FEL"))</f>
        <v>Contents</v>
      </c>
    </row>
    <row r="2" spans="1:10" ht="15.95" customHeight="1"/>
    <row r="3" spans="1:10" ht="15.95" customHeight="1">
      <c r="A3" s="418" t="str">
        <f>IFERROR(INDEX(lista[],MATCH($A5,lista[ID],0),MATCH(språk,lista[#Headers],0)),"")</f>
        <v>Fuel used for electricity production, excluding nuclear fuel, from 1983, GWh</v>
      </c>
      <c r="B3" s="418"/>
      <c r="C3" s="418"/>
      <c r="D3" s="418"/>
      <c r="E3" s="418"/>
      <c r="F3" s="418"/>
      <c r="G3" s="418"/>
    </row>
    <row r="4" spans="1:10" ht="15.95" customHeight="1">
      <c r="A4" s="418"/>
      <c r="B4" s="419"/>
      <c r="C4" s="419"/>
      <c r="D4" s="419"/>
      <c r="E4" s="419"/>
      <c r="F4" s="419"/>
      <c r="G4" s="419"/>
    </row>
    <row r="5" spans="1:10" ht="15.95" hidden="1" customHeight="1">
      <c r="A5" s="313">
        <v>37</v>
      </c>
      <c r="B5" s="313" t="s">
        <v>647</v>
      </c>
      <c r="C5" s="313" t="s">
        <v>648</v>
      </c>
      <c r="D5" s="313" t="s">
        <v>649</v>
      </c>
      <c r="E5" s="313" t="s">
        <v>650</v>
      </c>
      <c r="F5" s="313" t="s">
        <v>651</v>
      </c>
      <c r="G5" s="313"/>
      <c r="J5" s="533"/>
    </row>
    <row r="6" spans="1:10" ht="39" customHeight="1">
      <c r="A6" s="119"/>
      <c r="B6" s="143" t="str">
        <f>IFERROR(INDEX(_6.3[],MATCH(språk,_6.3[[id]:[id]],0),MATCH(B$5,_6.3[#Headers],0)),"")</f>
        <v>Biomass</v>
      </c>
      <c r="C6" s="143" t="str">
        <f>IFERROR(INDEX(_6.3[],MATCH(språk,_6.3[[id]:[id]],0),MATCH(C$5,_6.3[#Headers],0)),"")</f>
        <v>Coal incl. coke oven and blast furnace gases</v>
      </c>
      <c r="D6" s="143" t="str">
        <f>IFERROR(INDEX(_6.3[],MATCH(språk,_6.3[[id]:[id]],0),MATCH(D$5,_6.3[#Headers],0)),"")</f>
        <v>Petroleum products</v>
      </c>
      <c r="E6" s="143" t="str">
        <f>IFERROR(INDEX(_6.3[],MATCH(språk,_6.3[[id]:[id]],0),MATCH(E$5,_6.3[#Headers],0)),"")</f>
        <v>Natural gas</v>
      </c>
      <c r="F6" s="143" t="str">
        <f>IFERROR(INDEX(_6.3[],MATCH(språk,_6.3[[id]:[id]],0),MATCH(F$5,_6.3[#Headers],0)),"")</f>
        <v>Other fuels</v>
      </c>
      <c r="G6" s="120" t="str">
        <f>IF(språk=lista[[#Headers],[Svenska]],"Totalt",IF(språk=lista[[#Headers],[English]],"Total","FEL"))</f>
        <v>Total</v>
      </c>
    </row>
    <row r="7" spans="1:10" ht="15.95" customHeight="1">
      <c r="A7" s="791">
        <v>1983</v>
      </c>
      <c r="B7" s="792">
        <v>1973.2809605393281</v>
      </c>
      <c r="C7" s="792">
        <v>1394.1666666666667</v>
      </c>
      <c r="D7" s="792">
        <v>3629.7222222222222</v>
      </c>
      <c r="E7" s="792">
        <v>0</v>
      </c>
      <c r="F7" s="792">
        <v>15.607928349560703</v>
      </c>
      <c r="G7" s="793">
        <v>7012.7777777777783</v>
      </c>
      <c r="H7" s="250"/>
    </row>
    <row r="8" spans="1:10" ht="15.95" customHeight="1">
      <c r="A8" s="121">
        <v>1984</v>
      </c>
      <c r="B8" s="125">
        <v>2592.8811772266336</v>
      </c>
      <c r="C8" s="125">
        <v>2085.8333333333335</v>
      </c>
      <c r="D8" s="125">
        <v>2020</v>
      </c>
      <c r="E8" s="125">
        <v>0</v>
      </c>
      <c r="F8" s="125">
        <v>24.063267217810687</v>
      </c>
      <c r="G8" s="126">
        <v>6722.7777777777774</v>
      </c>
      <c r="H8" s="250"/>
    </row>
    <row r="9" spans="1:10" ht="15.95" customHeight="1">
      <c r="A9" s="791">
        <v>1985</v>
      </c>
      <c r="B9" s="792">
        <v>2224.9500732995875</v>
      </c>
      <c r="C9" s="792">
        <v>3430.5555555555557</v>
      </c>
      <c r="D9" s="792">
        <v>4918.8888888888887</v>
      </c>
      <c r="E9" s="792">
        <v>53.888888888888886</v>
      </c>
      <c r="F9" s="792">
        <v>66.161037811523329</v>
      </c>
      <c r="G9" s="793">
        <v>10694.444444444445</v>
      </c>
      <c r="H9" s="250"/>
    </row>
    <row r="10" spans="1:10" ht="15.95" customHeight="1">
      <c r="A10" s="121">
        <v>1986</v>
      </c>
      <c r="B10" s="125">
        <v>2252.1069723018145</v>
      </c>
      <c r="C10" s="125">
        <v>3326.6666666666665</v>
      </c>
      <c r="D10" s="125">
        <v>4458.333333333333</v>
      </c>
      <c r="E10" s="125">
        <v>86.388888888888886</v>
      </c>
      <c r="F10" s="125">
        <v>62.33747214262975</v>
      </c>
      <c r="G10" s="126">
        <v>10185.833333333334</v>
      </c>
      <c r="H10" s="250"/>
    </row>
    <row r="11" spans="1:10" ht="15.95" customHeight="1">
      <c r="A11" s="791">
        <v>1987</v>
      </c>
      <c r="B11" s="792">
        <v>2235.4503879808485</v>
      </c>
      <c r="C11" s="792">
        <v>3226.6666666666665</v>
      </c>
      <c r="D11" s="792">
        <v>3966.3888888888891</v>
      </c>
      <c r="E11" s="792">
        <v>108.05555555555556</v>
      </c>
      <c r="F11" s="792">
        <v>55.66072313026249</v>
      </c>
      <c r="G11" s="793">
        <v>9592.2222222222208</v>
      </c>
      <c r="H11" s="250"/>
    </row>
    <row r="12" spans="1:10" ht="15.95" customHeight="1">
      <c r="A12" s="121">
        <v>1988</v>
      </c>
      <c r="B12" s="125">
        <v>2342.6011112467945</v>
      </c>
      <c r="C12" s="125">
        <v>3279.7222222222222</v>
      </c>
      <c r="D12" s="125">
        <v>3113.3333333333335</v>
      </c>
      <c r="E12" s="125">
        <v>399.44444444444446</v>
      </c>
      <c r="F12" s="125">
        <v>29.898888753205533</v>
      </c>
      <c r="G12" s="126">
        <v>9165</v>
      </c>
      <c r="H12" s="250"/>
    </row>
    <row r="13" spans="1:10" ht="15.95" customHeight="1">
      <c r="A13" s="791">
        <v>1989</v>
      </c>
      <c r="B13" s="792">
        <v>2448.6826506826505</v>
      </c>
      <c r="C13" s="792">
        <v>2485.8333333333335</v>
      </c>
      <c r="D13" s="792">
        <v>2281.6666666666665</v>
      </c>
      <c r="E13" s="792">
        <v>302.22222222222223</v>
      </c>
      <c r="F13" s="792">
        <v>156.31734931734931</v>
      </c>
      <c r="G13" s="793">
        <v>7674.7222222222226</v>
      </c>
      <c r="H13" s="250"/>
    </row>
    <row r="14" spans="1:10" ht="15.95" customHeight="1">
      <c r="A14" s="121">
        <v>1990</v>
      </c>
      <c r="B14" s="125">
        <v>2191.2904575691391</v>
      </c>
      <c r="C14" s="125">
        <v>2377.7777777777778</v>
      </c>
      <c r="D14" s="125">
        <v>1810.5555555555557</v>
      </c>
      <c r="E14" s="125">
        <v>464.44444444444446</v>
      </c>
      <c r="F14" s="125">
        <v>262.59843131974992</v>
      </c>
      <c r="G14" s="126">
        <v>7106.6666666666661</v>
      </c>
      <c r="H14" s="250"/>
    </row>
    <row r="15" spans="1:10" ht="15.95" customHeight="1">
      <c r="A15" s="791">
        <v>1991</v>
      </c>
      <c r="B15" s="792">
        <v>2011</v>
      </c>
      <c r="C15" s="792">
        <v>3213.333333333333</v>
      </c>
      <c r="D15" s="792">
        <v>2988.3333333333335</v>
      </c>
      <c r="E15" s="792">
        <v>583.33333333333337</v>
      </c>
      <c r="F15" s="792">
        <v>484.55555555555554</v>
      </c>
      <c r="G15" s="793">
        <v>9280.5555555555547</v>
      </c>
      <c r="H15" s="250"/>
    </row>
    <row r="16" spans="1:10" ht="15.95" customHeight="1">
      <c r="A16" s="121">
        <v>1992</v>
      </c>
      <c r="B16" s="125">
        <v>2493.78404463483</v>
      </c>
      <c r="C16" s="125">
        <v>3344.1666666666665</v>
      </c>
      <c r="D16" s="125">
        <v>4054.4444444444443</v>
      </c>
      <c r="E16" s="125">
        <v>842.5</v>
      </c>
      <c r="F16" s="125">
        <v>472.32706647628117</v>
      </c>
      <c r="G16" s="126">
        <v>11207.222222222221</v>
      </c>
      <c r="H16" s="250"/>
    </row>
    <row r="17" spans="1:8" ht="15.95" customHeight="1">
      <c r="A17" s="791">
        <v>1993</v>
      </c>
      <c r="B17" s="792">
        <v>2326.9444444444443</v>
      </c>
      <c r="C17" s="792">
        <v>3601.6666666666665</v>
      </c>
      <c r="D17" s="792">
        <v>4510.2777777777774</v>
      </c>
      <c r="E17" s="792">
        <v>962.22222222222217</v>
      </c>
      <c r="F17" s="792">
        <v>710.55555555555554</v>
      </c>
      <c r="G17" s="793">
        <v>12111.666666666666</v>
      </c>
      <c r="H17" s="250"/>
    </row>
    <row r="18" spans="1:8" ht="15.95" customHeight="1">
      <c r="A18" s="121">
        <v>1994</v>
      </c>
      <c r="B18" s="125">
        <v>2419.8199333767157</v>
      </c>
      <c r="C18" s="125">
        <v>4385.2777777777774</v>
      </c>
      <c r="D18" s="125">
        <v>6321.9444444444443</v>
      </c>
      <c r="E18" s="125">
        <v>884.44444444444446</v>
      </c>
      <c r="F18" s="125">
        <v>697.12451106772892</v>
      </c>
      <c r="G18" s="126">
        <v>14708.611111111111</v>
      </c>
      <c r="H18" s="250"/>
    </row>
    <row r="19" spans="1:8" ht="15.95" customHeight="1">
      <c r="A19" s="791">
        <v>1995</v>
      </c>
      <c r="B19" s="792">
        <v>2735.4973433861778</v>
      </c>
      <c r="C19" s="792">
        <v>3757.7777777777778</v>
      </c>
      <c r="D19" s="792">
        <v>5631.1111111111104</v>
      </c>
      <c r="E19" s="792">
        <v>758.33333333333337</v>
      </c>
      <c r="F19" s="792">
        <v>602.28043439160024</v>
      </c>
      <c r="G19" s="793">
        <v>13484.999999999998</v>
      </c>
      <c r="H19" s="250"/>
    </row>
    <row r="20" spans="1:8" ht="15.95" customHeight="1">
      <c r="A20" s="121">
        <v>1996</v>
      </c>
      <c r="B20" s="125">
        <v>2887.451029997123</v>
      </c>
      <c r="C20" s="125">
        <v>7290.2777777777774</v>
      </c>
      <c r="D20" s="125">
        <v>12916.111111111109</v>
      </c>
      <c r="E20" s="125">
        <v>651.38888888888891</v>
      </c>
      <c r="F20" s="125">
        <v>461.99341444732136</v>
      </c>
      <c r="G20" s="126">
        <v>24207.222222222223</v>
      </c>
      <c r="H20" s="250"/>
    </row>
    <row r="21" spans="1:8" ht="15.95" customHeight="1">
      <c r="A21" s="791">
        <v>1997</v>
      </c>
      <c r="B21" s="792">
        <v>3554.7894258428164</v>
      </c>
      <c r="C21" s="792">
        <v>3695</v>
      </c>
      <c r="D21" s="792">
        <v>5620</v>
      </c>
      <c r="E21" s="792">
        <v>680.55555555555554</v>
      </c>
      <c r="F21" s="792">
        <v>352.7105741571836</v>
      </c>
      <c r="G21" s="793">
        <v>13903.055555555555</v>
      </c>
      <c r="H21" s="250"/>
    </row>
    <row r="22" spans="1:8" ht="15.95" customHeight="1">
      <c r="A22" s="121">
        <v>1998</v>
      </c>
      <c r="B22" s="125">
        <v>3435.1667276779999</v>
      </c>
      <c r="C22" s="125">
        <v>4361.1111111111113</v>
      </c>
      <c r="D22" s="125">
        <v>5219.7222222222217</v>
      </c>
      <c r="E22" s="125">
        <v>583.33333333333337</v>
      </c>
      <c r="F22" s="125">
        <v>518.99993898866614</v>
      </c>
      <c r="G22" s="126">
        <v>14118.333333333332</v>
      </c>
      <c r="H22" s="250"/>
    </row>
    <row r="23" spans="1:8" ht="15.95" customHeight="1">
      <c r="A23" s="791">
        <v>1999</v>
      </c>
      <c r="B23" s="792">
        <v>3078.4019820834137</v>
      </c>
      <c r="C23" s="792">
        <v>4316.666666666667</v>
      </c>
      <c r="D23" s="792">
        <v>4513.6111111111113</v>
      </c>
      <c r="E23" s="792">
        <v>543.05555555555554</v>
      </c>
      <c r="F23" s="792">
        <v>453.82024013880857</v>
      </c>
      <c r="G23" s="793">
        <v>12905.555555555555</v>
      </c>
      <c r="H23" s="250"/>
    </row>
    <row r="24" spans="1:8" ht="15.95" customHeight="1">
      <c r="A24" s="121">
        <v>2000</v>
      </c>
      <c r="B24" s="125">
        <v>4397.3265048181511</v>
      </c>
      <c r="C24" s="125">
        <v>3656.9444444444443</v>
      </c>
      <c r="D24" s="125">
        <v>3595.8333333333335</v>
      </c>
      <c r="E24" s="125">
        <v>515</v>
      </c>
      <c r="F24" s="125">
        <v>515.17349518184903</v>
      </c>
      <c r="G24" s="126">
        <v>12680.277777777777</v>
      </c>
      <c r="H24" s="250"/>
    </row>
    <row r="25" spans="1:8" ht="15.95" customHeight="1">
      <c r="A25" s="791">
        <v>2001</v>
      </c>
      <c r="B25" s="792">
        <v>4276.9980966395788</v>
      </c>
      <c r="C25" s="792">
        <v>4231.3888888888887</v>
      </c>
      <c r="D25" s="792">
        <v>3267.4999999999995</v>
      </c>
      <c r="E25" s="792">
        <v>440.55555555555554</v>
      </c>
      <c r="F25" s="792">
        <v>591.05745891597712</v>
      </c>
      <c r="G25" s="793">
        <v>12807.5</v>
      </c>
      <c r="H25" s="250"/>
    </row>
    <row r="26" spans="1:8" ht="15.95" customHeight="1">
      <c r="A26" s="121">
        <v>2002</v>
      </c>
      <c r="B26" s="125">
        <v>4907.8581304318332</v>
      </c>
      <c r="C26" s="125">
        <v>4953.0555555555557</v>
      </c>
      <c r="D26" s="125">
        <v>4408.6111111111113</v>
      </c>
      <c r="E26" s="125">
        <v>689.16666666666663</v>
      </c>
      <c r="F26" s="125">
        <v>545.47520290150032</v>
      </c>
      <c r="G26" s="126">
        <v>15504.166666666666</v>
      </c>
      <c r="H26" s="250"/>
    </row>
    <row r="27" spans="1:8" ht="15.95" customHeight="1">
      <c r="A27" s="791">
        <v>2003</v>
      </c>
      <c r="B27" s="792">
        <v>6000.750924488525</v>
      </c>
      <c r="C27" s="792">
        <v>6224.4444444444443</v>
      </c>
      <c r="D27" s="792">
        <v>6002.5</v>
      </c>
      <c r="E27" s="792">
        <v>891.94444444444446</v>
      </c>
      <c r="F27" s="792">
        <v>763.69351995591887</v>
      </c>
      <c r="G27" s="793">
        <v>19883.333333333332</v>
      </c>
      <c r="H27" s="250"/>
    </row>
    <row r="28" spans="1:8" ht="15.95" customHeight="1">
      <c r="A28" s="121">
        <v>2004</v>
      </c>
      <c r="B28" s="125">
        <v>7986.0621177830399</v>
      </c>
      <c r="C28" s="125">
        <v>4129.7222222222217</v>
      </c>
      <c r="D28" s="125">
        <v>2416.3888888888887</v>
      </c>
      <c r="E28" s="125">
        <v>858.05555555555554</v>
      </c>
      <c r="F28" s="125">
        <v>2130.882326661404</v>
      </c>
      <c r="G28" s="126">
        <v>17521.111111111109</v>
      </c>
      <c r="H28" s="250"/>
    </row>
    <row r="29" spans="1:8" ht="15.95" customHeight="1">
      <c r="A29" s="791">
        <v>2005</v>
      </c>
      <c r="B29" s="792">
        <v>9158.8888888888887</v>
      </c>
      <c r="C29" s="792">
        <v>3743.8888888888887</v>
      </c>
      <c r="D29" s="792">
        <v>2207.2222222222222</v>
      </c>
      <c r="E29" s="792">
        <v>701.38888888888891</v>
      </c>
      <c r="F29" s="792">
        <v>1192.7777777777778</v>
      </c>
      <c r="G29" s="793">
        <v>17004.166666666668</v>
      </c>
      <c r="H29" s="250"/>
    </row>
    <row r="30" spans="1:8" ht="15.95" customHeight="1">
      <c r="A30" s="121">
        <v>2006</v>
      </c>
      <c r="B30" s="125">
        <v>9718.0555555555547</v>
      </c>
      <c r="C30" s="125">
        <v>3310.2777777777778</v>
      </c>
      <c r="D30" s="125">
        <v>2628.3333333333335</v>
      </c>
      <c r="E30" s="125">
        <v>842.5</v>
      </c>
      <c r="F30" s="125">
        <v>1152.7777777777778</v>
      </c>
      <c r="G30" s="126">
        <v>17651.944444444442</v>
      </c>
      <c r="H30" s="250"/>
    </row>
    <row r="31" spans="1:8" ht="15.95" customHeight="1">
      <c r="A31" s="791">
        <v>2007</v>
      </c>
      <c r="B31" s="792">
        <v>10297.5</v>
      </c>
      <c r="C31" s="792">
        <v>2917.5</v>
      </c>
      <c r="D31" s="792">
        <v>1658.6111111111111</v>
      </c>
      <c r="E31" s="792">
        <v>1440</v>
      </c>
      <c r="F31" s="792">
        <v>1073.8888888888889</v>
      </c>
      <c r="G31" s="793">
        <v>17387.5</v>
      </c>
      <c r="H31" s="250"/>
    </row>
    <row r="32" spans="1:8" ht="15.95" customHeight="1">
      <c r="A32" s="121">
        <v>2008</v>
      </c>
      <c r="B32" s="125">
        <v>11954.444444444443</v>
      </c>
      <c r="C32" s="125">
        <v>2960.2777777777778</v>
      </c>
      <c r="D32" s="125">
        <v>1261.1111111111111</v>
      </c>
      <c r="E32" s="125">
        <v>1077.5</v>
      </c>
      <c r="F32" s="125">
        <v>1646.3888888888889</v>
      </c>
      <c r="G32" s="126">
        <v>18899.722222222223</v>
      </c>
      <c r="H32" s="250"/>
    </row>
    <row r="33" spans="1:8" ht="15.95" customHeight="1">
      <c r="A33" s="791">
        <v>2009</v>
      </c>
      <c r="B33" s="792">
        <v>12971.944444444443</v>
      </c>
      <c r="C33" s="792">
        <v>1731.6666666666665</v>
      </c>
      <c r="D33" s="792">
        <v>1520.5555555555554</v>
      </c>
      <c r="E33" s="792">
        <v>2795.8333333333335</v>
      </c>
      <c r="F33" s="792">
        <v>1457.2222222222222</v>
      </c>
      <c r="G33" s="793">
        <v>20477.222222222219</v>
      </c>
      <c r="H33" s="250"/>
    </row>
    <row r="34" spans="1:8" ht="15.95" customHeight="1">
      <c r="A34" s="127">
        <v>2010</v>
      </c>
      <c r="B34" s="250">
        <v>14973.333333333332</v>
      </c>
      <c r="C34" s="250">
        <v>2864.1666666666665</v>
      </c>
      <c r="D34" s="125">
        <v>2435</v>
      </c>
      <c r="E34" s="125">
        <v>5097.2222222222217</v>
      </c>
      <c r="F34" s="250">
        <v>1993.0555555555554</v>
      </c>
      <c r="G34" s="631">
        <v>27362.777777777777</v>
      </c>
      <c r="H34" s="250"/>
    </row>
    <row r="35" spans="1:8" ht="15.95" customHeight="1">
      <c r="A35" s="791">
        <v>2011</v>
      </c>
      <c r="B35" s="889">
        <v>14498.611111111111</v>
      </c>
      <c r="C35" s="889">
        <v>2555</v>
      </c>
      <c r="D35" s="792">
        <v>1094.1666666666667</v>
      </c>
      <c r="E35" s="792">
        <v>3492.7777777777778</v>
      </c>
      <c r="F35" s="889">
        <v>1998.6111111111111</v>
      </c>
      <c r="G35" s="890">
        <v>23639.166666666664</v>
      </c>
      <c r="H35" s="250"/>
    </row>
    <row r="36" spans="1:8" ht="15.95" customHeight="1">
      <c r="A36" s="121">
        <v>2012</v>
      </c>
      <c r="B36" s="250">
        <v>14338.888888888889</v>
      </c>
      <c r="C36" s="250">
        <v>1897.5</v>
      </c>
      <c r="D36" s="125">
        <v>921.66666666666663</v>
      </c>
      <c r="E36" s="125">
        <v>2103.8888888888887</v>
      </c>
      <c r="F36" s="250">
        <v>1665.2777777777778</v>
      </c>
      <c r="G36" s="631">
        <v>20927.222222222223</v>
      </c>
      <c r="H36" s="250"/>
    </row>
    <row r="37" spans="1:8" ht="15.95" customHeight="1">
      <c r="A37" s="791">
        <v>2013</v>
      </c>
      <c r="B37" s="889">
        <v>13533.888888888889</v>
      </c>
      <c r="C37" s="889">
        <v>2062.5</v>
      </c>
      <c r="D37" s="792">
        <v>540.55555555555554</v>
      </c>
      <c r="E37" s="792">
        <v>2141.1111111111109</v>
      </c>
      <c r="F37" s="889">
        <v>1627.7777777777778</v>
      </c>
      <c r="G37" s="890">
        <v>19905.833333333332</v>
      </c>
      <c r="H37" s="250"/>
    </row>
    <row r="38" spans="1:8" ht="15.95" customHeight="1">
      <c r="A38" s="121">
        <v>2014</v>
      </c>
      <c r="B38" s="250">
        <v>12870.833333333332</v>
      </c>
      <c r="C38" s="250">
        <v>1780</v>
      </c>
      <c r="D38" s="125">
        <v>436.94444444444446</v>
      </c>
      <c r="E38" s="125">
        <v>1076.3888888888889</v>
      </c>
      <c r="F38" s="250">
        <v>1496.9444444444443</v>
      </c>
      <c r="G38" s="631">
        <v>17661.111111111109</v>
      </c>
      <c r="H38" s="250"/>
    </row>
    <row r="39" spans="1:8" ht="15.95" customHeight="1">
      <c r="A39" s="791">
        <v>2015</v>
      </c>
      <c r="B39" s="889">
        <v>13088.611111111111</v>
      </c>
      <c r="C39" s="889">
        <v>1911.1111111111111</v>
      </c>
      <c r="D39" s="792">
        <v>372.22222222222217</v>
      </c>
      <c r="E39" s="792">
        <v>1198.6111111111111</v>
      </c>
      <c r="F39" s="889">
        <v>1505.8333333333333</v>
      </c>
      <c r="G39" s="890">
        <v>18076.388888888887</v>
      </c>
      <c r="H39" s="250"/>
    </row>
    <row r="40" spans="1:8" ht="15.95" customHeight="1">
      <c r="A40" s="121"/>
      <c r="B40" s="125"/>
      <c r="C40" s="125"/>
      <c r="D40" s="125"/>
      <c r="E40" s="125"/>
      <c r="F40" s="125"/>
      <c r="G40" s="126"/>
      <c r="H40" s="250"/>
    </row>
    <row r="41" spans="1:8" ht="15.95" customHeight="1">
      <c r="A41" s="92"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1">
    <tabColor theme="1"/>
  </sheetPr>
  <dimension ref="A1:H102"/>
  <sheetViews>
    <sheetView topLeftCell="B1" zoomScaleNormal="100" workbookViewId="0">
      <selection activeCell="E1" sqref="E1"/>
    </sheetView>
  </sheetViews>
  <sheetFormatPr defaultColWidth="8.86328125" defaultRowHeight="13.15"/>
  <cols>
    <col min="1" max="1" width="0" style="4" hidden="1" customWidth="1"/>
    <col min="2" max="2" width="8.1328125" style="4" customWidth="1"/>
    <col min="3" max="3" width="8.1328125" style="4" hidden="1" customWidth="1"/>
    <col min="4" max="4" width="88.86328125" style="318" customWidth="1"/>
    <col min="5" max="6" width="10.73046875" style="32" customWidth="1"/>
    <col min="7" max="16384" width="8.86328125" style="4"/>
  </cols>
  <sheetData>
    <row r="1" spans="1:4">
      <c r="A1" s="4">
        <v>152</v>
      </c>
      <c r="B1" s="524" t="str">
        <f>IFERROR(INDEX(lista[],MATCH($A1,lista[ID],0),MATCH(språk,lista[#Headers],0)),"")</f>
        <v>Contents</v>
      </c>
      <c r="C1" s="524"/>
      <c r="D1" s="543"/>
    </row>
    <row r="2" spans="1:4" ht="21">
      <c r="C2" s="4">
        <v>153</v>
      </c>
      <c r="D2" s="548" t="str">
        <f>IFERROR(INDEX(lista[],MATCH($C2,lista[ID],0),MATCH(språk,lista[#Headers],0)),"")</f>
        <v>Information on the statistics</v>
      </c>
    </row>
    <row r="3" spans="1:4" ht="12" customHeight="1">
      <c r="D3" s="548"/>
    </row>
    <row r="4" spans="1:4" ht="15.75">
      <c r="C4" s="4">
        <v>154</v>
      </c>
      <c r="D4" s="544" t="str">
        <f>IFERROR(INDEX(lista[],MATCH($C4,lista[ID],0),MATCH(språk,lista[#Headers],0)),"")</f>
        <v>Version</v>
      </c>
    </row>
    <row r="5" spans="1:4">
      <c r="D5" s="968"/>
    </row>
    <row r="6" spans="1:4" ht="9" customHeight="1">
      <c r="D6" s="42"/>
    </row>
    <row r="7" spans="1:4" ht="15.75">
      <c r="C7" s="4">
        <v>155</v>
      </c>
      <c r="D7" s="544" t="str">
        <f>IFERROR(INDEX(lista[],MATCH($C7,lista[ID],0),MATCH(språk,lista[#Headers],0)),"")</f>
        <v>About the statistics</v>
      </c>
    </row>
    <row r="8" spans="1:4" ht="90.75" customHeight="1">
      <c r="C8" s="4">
        <v>156</v>
      </c>
      <c r="D8" s="673" t="str">
        <f>IFERROR(INDEX(lista[],MATCH($C8,lista[ID],0),MATCH(språk,lista[#Headers],0)),"")</f>
        <v>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v>
      </c>
    </row>
    <row r="9" spans="1:4">
      <c r="D9" s="673"/>
    </row>
    <row r="10" spans="1:4">
      <c r="C10" s="4">
        <v>157</v>
      </c>
      <c r="D10" s="673" t="str">
        <f>IFERROR(INDEX(lista[],MATCH($C10,lista[ID],0),MATCH(språk,lista[#Headers],0)),"")</f>
        <v>The tables are based on statistics that were available on the date of publication.</v>
      </c>
    </row>
    <row r="11" spans="1:4">
      <c r="C11" s="4">
        <v>158</v>
      </c>
      <c r="D11" s="673" t="str">
        <f>IFERROR(INDEX(lista[],MATCH($C11,lista[ID],0),MATCH(språk,lista[#Headers],0)),"")</f>
        <v>Statistics based on the energy balances cover years until 2015.</v>
      </c>
    </row>
    <row r="12" spans="1:4">
      <c r="C12" s="4">
        <v>159</v>
      </c>
      <c r="D12" s="673" t="str">
        <f>IFERROR(INDEX(lista[],MATCH($C12,lista[ID],0),MATCH(språk,lista[#Headers],0)),"")</f>
        <v>Some of the other statistics, e.g. prices, are often available until 2016.</v>
      </c>
    </row>
    <row r="13" spans="1:4">
      <c r="D13" s="673"/>
    </row>
    <row r="14" spans="1:4">
      <c r="C14" s="4">
        <v>160</v>
      </c>
      <c r="D14" s="673" t="str">
        <f>IFERROR(INDEX(lista[],MATCH($C14,lista[ID],0),MATCH(språk,lista[#Headers],0)),"")</f>
        <v>The statistics have been processed by the Swedish Energy Agency.</v>
      </c>
    </row>
    <row r="15" spans="1:4">
      <c r="D15" s="673"/>
    </row>
    <row r="16" spans="1:4" ht="15.75">
      <c r="C16" s="4">
        <v>161</v>
      </c>
      <c r="D16" s="544" t="str">
        <f>IFERROR(INDEX(lista[],MATCH($C16,lista[ID],0),MATCH(språk,lista[#Headers],0)),"")</f>
        <v>About biomass in the statistics</v>
      </c>
    </row>
    <row r="17" spans="3:7">
      <c r="C17" s="4">
        <v>162</v>
      </c>
      <c r="D17" s="42" t="str">
        <f>IFERROR(INDEX(lista[],MATCH($C17,lista[ID],0),MATCH(språk,lista[#Headers],0)),"")</f>
        <v>The energy balances on the website of the Swedish Energy Agency contain more detailed statistics on biomass.</v>
      </c>
    </row>
    <row r="18" spans="3:7">
      <c r="C18" s="4">
        <v>163</v>
      </c>
      <c r="D18" s="678" t="str">
        <f>IFERROR(INDEX(lista[],MATCH($C18,lista[ID],0),MATCH(språk,lista[#Headers],0)),"")</f>
        <v>http://www.energimyndigheten.se/Statistik/Energibalans/?currentTab=1#mainheading</v>
      </c>
    </row>
    <row r="19" spans="3:7" ht="9" customHeight="1">
      <c r="D19" s="678"/>
    </row>
    <row r="20" spans="3:7">
      <c r="C20" s="4">
        <v>164</v>
      </c>
      <c r="D20" s="42" t="str">
        <f>IFERROR(INDEX(lista[],MATCH($C20,lista[ID],0),MATCH(språk,lista[#Headers],0)),"")</f>
        <v>Statistical categorization of biomass:</v>
      </c>
    </row>
    <row r="21" spans="3:7" ht="210">
      <c r="C21" s="4">
        <v>165</v>
      </c>
      <c r="D21" s="130" t="str">
        <f>IFERROR(INDEX(lista[],MATCH($C21,lista[ID],0),MATCH(språk,lista[#Headers],0)),"")</f>
        <v>Biomass
     Solid biofuels
          Wood fuel
               Densified wood fuel
               Undensified wood fuel
          Black liquor
          Other solid biofuels
     Bioliquids
          Bioethanol
          Biodiesel
          Bio-oils
               Tall oil pitch
               Vegetable and animal oils
          Other bioliquids
     Biogas
     Municipal waste - bio</v>
      </c>
    </row>
    <row r="22" spans="3:7">
      <c r="D22" s="673"/>
    </row>
    <row r="23" spans="3:7" ht="15.75">
      <c r="C23" s="4">
        <v>166</v>
      </c>
      <c r="D23" s="544" t="str">
        <f>IFERROR(INDEX(lista[],MATCH($C23,lista[ID],0),MATCH(språk,lista[#Headers],0)),"")</f>
        <v>Sources</v>
      </c>
    </row>
    <row r="24" spans="3:7">
      <c r="C24" s="4">
        <v>167</v>
      </c>
      <c r="D24" s="42" t="str">
        <f>IFERROR(INDEX(lista[],MATCH($C24,lista[ID],0),MATCH(språk,lista[#Headers],0)),"")</f>
        <v>Energy balances</v>
      </c>
    </row>
    <row r="25" spans="3:7">
      <c r="C25" s="4">
        <v>168</v>
      </c>
      <c r="D25" s="678" t="str">
        <f>IFERROR(INDEX(lista[],MATCH($C25,lista[ID],0),MATCH(språk,lista[#Headers],0)),"")</f>
        <v>http://www.energimyndigheten.se/Statistik/Energibalans/?currentTab=1#mainheading</v>
      </c>
    </row>
    <row r="26" spans="3:7">
      <c r="D26" s="678"/>
    </row>
    <row r="27" spans="3:7">
      <c r="C27" s="4">
        <v>169</v>
      </c>
      <c r="D27" s="673" t="str">
        <f>IFERROR(INDEX(lista[],MATCH($C27,lista[ID],0),MATCH(språk,lista[#Headers],0)),"")</f>
        <v>The tables are, unless otherwise stated, also based on the following sources:</v>
      </c>
    </row>
    <row r="28" spans="3:7" ht="9.75" customHeight="1">
      <c r="D28" s="673"/>
    </row>
    <row r="29" spans="3:7">
      <c r="C29" s="4">
        <v>170</v>
      </c>
      <c r="D29" s="675" t="str">
        <f>IFERROR(INDEX(lista[],MATCH($C29,lista[ID],0),MATCH(språk,lista[#Headers],0)),"")</f>
        <v>Swedish Energy Agency</v>
      </c>
    </row>
    <row r="30" spans="3:7">
      <c r="C30" s="4">
        <v>171</v>
      </c>
      <c r="D30" s="674" t="str">
        <f>IFERROR(INDEX(lista[],MATCH($C30,lista[ID],0),MATCH(språk,lista[#Headers],0)),"")</f>
        <v>Energy statistics for dwellings and non-residential premises 
(Energistatistik i småhus, flerbostadshus och lokaler)</v>
      </c>
    </row>
    <row r="31" spans="3:7" ht="26.25">
      <c r="C31" s="4">
        <v>172</v>
      </c>
      <c r="D31" s="933" t="str">
        <f>IFERROR(INDEX(lista[],MATCH($C31,lista[ID],0),MATCH(språk,lista[#Headers],0)),"")</f>
        <v>http://www.energimyndigheten.se/Statistik/Slutlig-anvandning/Bostader-och-service/Smahus-flerbostadshus-och-lokaler/</v>
      </c>
    </row>
    <row r="32" spans="3:7">
      <c r="C32" s="4">
        <v>173</v>
      </c>
      <c r="D32" s="676" t="str">
        <f>IFERROR(INDEX(lista[],MATCH($C32,lista[ID],0),MATCH(språk,lista[#Headers],0)),"")</f>
        <v xml:space="preserve">Price statistics </v>
      </c>
      <c r="E32" s="539"/>
      <c r="F32" s="539"/>
      <c r="G32" s="218"/>
    </row>
    <row r="33" spans="3:7">
      <c r="C33" s="4">
        <v>174</v>
      </c>
      <c r="D33" s="677" t="str">
        <f>IFERROR(INDEX(lista[],MATCH($C33,lista[ID],0),MATCH(språk,lista[#Headers],0)),"")</f>
        <v>http://www.energimyndigheten.se/statistik/energipriser/</v>
      </c>
      <c r="E33" s="539"/>
      <c r="F33" s="539"/>
      <c r="G33" s="218"/>
    </row>
    <row r="34" spans="3:7">
      <c r="C34" s="4">
        <v>175</v>
      </c>
      <c r="D34" s="676" t="str">
        <f>IFERROR(INDEX(lista[],MATCH($C34,lista[ID],0),MATCH(språk,lista[#Headers],0)),"")</f>
        <v>Transport fuels, Drivmedel 2016, ER 2017:12</v>
      </c>
      <c r="E34" s="539"/>
      <c r="F34" s="539"/>
      <c r="G34" s="218"/>
    </row>
    <row r="35" spans="3:7">
      <c r="C35" s="4">
        <v>176</v>
      </c>
      <c r="D35" s="677" t="str">
        <f>IFERROR(INDEX(lista[],MATCH($C35,lista[ID],0),MATCH(språk,lista[#Headers],0)),"")</f>
        <v>http://www.energimyndigheten.se/fornybart/hallbarhetskriterier/</v>
      </c>
      <c r="E35" s="539"/>
      <c r="F35" s="539"/>
      <c r="G35" s="218"/>
    </row>
    <row r="36" spans="3:7">
      <c r="C36" s="4">
        <v>177</v>
      </c>
      <c r="D36" s="676" t="str">
        <f>IFERROR(INDEX(lista[],MATCH($C36,lista[ID],0),MATCH(språk,lista[#Headers],0)),"")</f>
        <v>Production and use of biogas, Produktion och användning av biogas och rötrester år 2017, ES2017:07</v>
      </c>
      <c r="E36" s="539"/>
      <c r="F36" s="539"/>
      <c r="G36" s="218"/>
    </row>
    <row r="37" spans="3:7">
      <c r="C37" s="4">
        <v>178</v>
      </c>
      <c r="D37" s="677" t="str">
        <f>IFERROR(INDEX(lista[],MATCH($C37,lista[ID],0),MATCH(språk,lista[#Headers],0)),"")</f>
        <v>https://energimyndigheten.a-w2m.se/Home.mvc?ResourceId=5685</v>
      </c>
      <c r="E37" s="539"/>
      <c r="F37" s="539"/>
      <c r="G37" s="218"/>
    </row>
    <row r="38" spans="3:7">
      <c r="C38" s="4">
        <v>179</v>
      </c>
      <c r="D38" s="676" t="str">
        <f>IFERROR(INDEX(lista[],MATCH($C38,lista[ID],0),MATCH(språk,lista[#Headers],0)),"")</f>
        <v>Windpower statistics, Vindkraftsstatistik 2016, ES2017:02</v>
      </c>
      <c r="E38" s="539"/>
      <c r="F38" s="539"/>
    </row>
    <row r="39" spans="3:7">
      <c r="C39" s="4">
        <v>180</v>
      </c>
      <c r="D39" s="923" t="str">
        <f>IFERROR(INDEX(lista[],MATCH($C39,lista[ID],0),MATCH(språk,lista[#Headers],0)),"")</f>
        <v>https://energimyndigheten.a-w2m.se/Home.mvc?ResourceId=5673</v>
      </c>
      <c r="E39" s="37"/>
      <c r="F39" s="37"/>
    </row>
    <row r="40" spans="3:7" ht="7.5" customHeight="1">
      <c r="D40" s="677"/>
      <c r="E40" s="539"/>
      <c r="F40" s="539"/>
      <c r="G40" s="218"/>
    </row>
    <row r="41" spans="3:7">
      <c r="C41" s="4">
        <v>181</v>
      </c>
      <c r="D41" s="36" t="str">
        <f>IFERROR(INDEX(lista[],MATCH($C41,lista[ID],0),MATCH(språk,lista[#Headers],0)),"")</f>
        <v>Statistics Sweden</v>
      </c>
    </row>
    <row r="42" spans="3:7">
      <c r="C42" s="4">
        <v>182</v>
      </c>
      <c r="D42" s="674" t="str">
        <f>IFERROR(INDEX(lista[],MATCH($C42,lista[ID],0),MATCH(språk,lista[#Headers],0)),"")</f>
        <v>Consumer price index (CPI)</v>
      </c>
    </row>
    <row r="43" spans="3:7">
      <c r="C43" s="4">
        <v>183</v>
      </c>
      <c r="D43" s="922" t="str">
        <f>IFERROR(INDEX(lista[],MATCH($C43,lista[ID],0),MATCH(språk,lista[#Headers],0)),"")</f>
        <v>http://www.scb.se/en/finding-statistics/statistics-by-subject-area/prices-and-consumption/</v>
      </c>
    </row>
    <row r="44" spans="3:7">
      <c r="C44" s="4">
        <v>184</v>
      </c>
      <c r="D44" s="676" t="str">
        <f>IFERROR(INDEX(lista[],MATCH($C44,lista[ID],0),MATCH(språk,lista[#Headers],0)),"")</f>
        <v>Value added, national accounts</v>
      </c>
      <c r="E44" s="539"/>
      <c r="F44" s="539"/>
      <c r="G44" s="218"/>
    </row>
    <row r="45" spans="3:7" ht="26.25">
      <c r="C45" s="4">
        <v>185</v>
      </c>
      <c r="D45" s="933" t="str">
        <f>IFERROR(INDEX(lista[],MATCH($C45,lista[ID],0),MATCH(språk,lista[#Headers],0)),"")</f>
        <v>http://www.scb.se/en/Finding-statistics/Statistics-by-subject-area/National-Accounts/National-Accounts/National-Accounts-quarterly-and-annual-estimates/</v>
      </c>
    </row>
    <row r="46" spans="3:7" ht="7.5" customHeight="1">
      <c r="D46" s="36"/>
      <c r="E46" s="37"/>
      <c r="F46" s="37"/>
    </row>
    <row r="47" spans="3:7">
      <c r="C47" s="4">
        <v>186</v>
      </c>
      <c r="D47" s="41" t="str">
        <f>IFERROR(INDEX(lista[],MATCH($C47,lista[ID],0),MATCH(språk,lista[#Headers],0)),"")</f>
        <v>SPBI</v>
      </c>
      <c r="E47" s="539"/>
      <c r="F47" s="539"/>
    </row>
    <row r="48" spans="3:7">
      <c r="C48" s="4">
        <v>187</v>
      </c>
      <c r="D48" s="676" t="str">
        <f>IFERROR(INDEX(lista[],MATCH($C48,lista[ID],0),MATCH(språk,lista[#Headers],0)),"")</f>
        <v>Price statistics</v>
      </c>
      <c r="E48" s="539"/>
      <c r="F48" s="539"/>
    </row>
    <row r="49" spans="3:8">
      <c r="C49" s="4">
        <v>188</v>
      </c>
      <c r="D49" s="923" t="str">
        <f>IFERROR(INDEX(lista[],MATCH($C49,lista[ID],0),MATCH(språk,lista[#Headers],0)),"")</f>
        <v>http://spbi.se/statistik/priser/</v>
      </c>
      <c r="E49" s="37"/>
      <c r="F49" s="37"/>
      <c r="G49" s="218"/>
    </row>
    <row r="50" spans="3:8" ht="7.5" customHeight="1">
      <c r="D50" s="41"/>
      <c r="E50" s="539"/>
      <c r="F50" s="539"/>
      <c r="G50" s="218"/>
    </row>
    <row r="51" spans="3:8">
      <c r="C51" s="4">
        <v>189</v>
      </c>
      <c r="D51" s="41" t="str">
        <f>IFERROR(INDEX(lista[],MATCH($C51,lista[ID],0),MATCH(språk,lista[#Headers],0)),"")</f>
        <v>IEA</v>
      </c>
      <c r="E51" s="539"/>
      <c r="F51" s="539"/>
      <c r="G51" s="218"/>
    </row>
    <row r="52" spans="3:8">
      <c r="C52" s="4">
        <v>190</v>
      </c>
      <c r="D52" s="676" t="str">
        <f>IFERROR(INDEX(lista[],MATCH($C52,lista[ID],0),MATCH(språk,lista[#Headers],0)),"")</f>
        <v>International statistics</v>
      </c>
      <c r="E52" s="539"/>
      <c r="F52" s="539"/>
      <c r="G52" s="218"/>
    </row>
    <row r="53" spans="3:8">
      <c r="C53" s="4">
        <v>191</v>
      </c>
      <c r="D53" s="923" t="str">
        <f>IFERROR(INDEX(lista[],MATCH($C53,lista[ID],0),MATCH(språk,lista[#Headers],0)),"")</f>
        <v>http://www.iea.org/statistics/</v>
      </c>
      <c r="E53" s="539"/>
      <c r="F53" s="539"/>
      <c r="G53" s="218"/>
    </row>
    <row r="54" spans="3:8" ht="15.95" customHeight="1">
      <c r="D54" s="41"/>
      <c r="E54" s="539"/>
      <c r="F54" s="539"/>
      <c r="G54" s="218"/>
    </row>
    <row r="55" spans="3:8" ht="15.95" customHeight="1">
      <c r="D55" s="41"/>
      <c r="E55" s="539"/>
      <c r="F55" s="539"/>
      <c r="G55" s="218"/>
    </row>
    <row r="56" spans="3:8">
      <c r="D56" s="545"/>
      <c r="E56" s="546"/>
      <c r="F56" s="546"/>
    </row>
    <row r="57" spans="3:8" ht="15.95" customHeight="1">
      <c r="D57" s="41"/>
      <c r="E57" s="539"/>
      <c r="F57" s="539"/>
    </row>
    <row r="58" spans="3:8" ht="15.95" customHeight="1">
      <c r="D58" s="36"/>
      <c r="E58" s="37"/>
      <c r="F58" s="37"/>
      <c r="H58" s="318"/>
    </row>
    <row r="59" spans="3:8" ht="15.95" customHeight="1">
      <c r="D59" s="41"/>
      <c r="E59" s="539"/>
      <c r="F59" s="539"/>
    </row>
    <row r="60" spans="3:8" ht="15.95" customHeight="1">
      <c r="D60" s="36"/>
      <c r="E60" s="37"/>
      <c r="F60" s="37"/>
    </row>
    <row r="61" spans="3:8" ht="15.95" customHeight="1">
      <c r="D61" s="41"/>
      <c r="E61" s="539"/>
      <c r="F61" s="539"/>
    </row>
    <row r="62" spans="3:8" ht="15.95" customHeight="1">
      <c r="D62" s="36"/>
      <c r="E62" s="37"/>
      <c r="F62" s="37"/>
    </row>
    <row r="63" spans="3:8" ht="15.95" customHeight="1">
      <c r="D63" s="41"/>
      <c r="E63" s="539"/>
      <c r="F63" s="539"/>
    </row>
    <row r="64" spans="3:8" ht="15.95" customHeight="1">
      <c r="D64" s="36"/>
      <c r="E64" s="37"/>
      <c r="F64" s="37"/>
    </row>
    <row r="65" spans="4:6" ht="15.95" customHeight="1">
      <c r="D65" s="41"/>
      <c r="E65" s="539"/>
      <c r="F65" s="539"/>
    </row>
    <row r="66" spans="4:6" ht="15.95" customHeight="1">
      <c r="D66" s="36"/>
      <c r="E66" s="37"/>
      <c r="F66" s="37"/>
    </row>
    <row r="67" spans="4:6" ht="15.95" customHeight="1">
      <c r="D67" s="41"/>
      <c r="E67" s="539"/>
      <c r="F67" s="539"/>
    </row>
    <row r="68" spans="4:6" ht="15.95" customHeight="1">
      <c r="D68" s="36"/>
      <c r="E68" s="37"/>
      <c r="F68" s="37"/>
    </row>
    <row r="69" spans="4:6" ht="15.95" customHeight="1">
      <c r="D69" s="41"/>
      <c r="E69" s="539"/>
      <c r="F69" s="539"/>
    </row>
    <row r="70" spans="4:6" ht="15.95" customHeight="1">
      <c r="D70" s="36"/>
      <c r="E70" s="37"/>
      <c r="F70" s="37"/>
    </row>
    <row r="71" spans="4:6" ht="15.95" customHeight="1">
      <c r="D71" s="41"/>
      <c r="E71" s="539"/>
      <c r="F71" s="539"/>
    </row>
    <row r="72" spans="4:6" ht="15.95" customHeight="1">
      <c r="D72" s="36"/>
      <c r="E72" s="37"/>
      <c r="F72" s="37"/>
    </row>
    <row r="73" spans="4:6" ht="15.95" customHeight="1">
      <c r="D73" s="41"/>
      <c r="E73" s="539"/>
      <c r="F73" s="539"/>
    </row>
    <row r="74" spans="4:6" ht="15.95" customHeight="1">
      <c r="D74" s="36"/>
      <c r="E74" s="37"/>
      <c r="F74" s="37"/>
    </row>
    <row r="75" spans="4:6" ht="15.95" customHeight="1">
      <c r="D75" s="41"/>
      <c r="E75" s="539"/>
      <c r="F75" s="539"/>
    </row>
    <row r="76" spans="4:6" ht="15.95" customHeight="1">
      <c r="D76" s="36"/>
      <c r="E76" s="37"/>
      <c r="F76" s="37"/>
    </row>
    <row r="77" spans="4:6" ht="15.95" customHeight="1">
      <c r="D77" s="41"/>
      <c r="E77" s="539"/>
      <c r="F77" s="539"/>
    </row>
    <row r="78" spans="4:6" ht="15.95" customHeight="1">
      <c r="D78" s="36"/>
      <c r="E78" s="37"/>
      <c r="F78" s="37"/>
    </row>
    <row r="79" spans="4:6" ht="15.95" customHeight="1">
      <c r="D79" s="41"/>
      <c r="E79" s="539"/>
      <c r="F79" s="539"/>
    </row>
    <row r="80" spans="4:6" ht="15.95" customHeight="1">
      <c r="D80" s="36"/>
      <c r="E80" s="37"/>
      <c r="F80" s="37"/>
    </row>
    <row r="81" spans="4:7" ht="15.95" customHeight="1">
      <c r="D81" s="41"/>
      <c r="E81" s="539"/>
      <c r="F81" s="539"/>
    </row>
    <row r="82" spans="4:7" ht="15.95" customHeight="1">
      <c r="D82" s="36"/>
      <c r="E82" s="37"/>
      <c r="F82" s="37"/>
    </row>
    <row r="83" spans="4:7" ht="15.95" customHeight="1">
      <c r="D83" s="41"/>
      <c r="E83" s="539"/>
      <c r="F83" s="539"/>
    </row>
    <row r="84" spans="4:7" ht="15.95" customHeight="1">
      <c r="D84" s="41"/>
      <c r="E84" s="539"/>
      <c r="F84" s="539"/>
    </row>
    <row r="85" spans="4:7" ht="15.95" customHeight="1">
      <c r="D85" s="36"/>
      <c r="E85" s="37"/>
      <c r="F85" s="37"/>
    </row>
    <row r="86" spans="4:7" ht="15.95" customHeight="1">
      <c r="D86" s="41"/>
      <c r="E86" s="539"/>
      <c r="F86" s="539"/>
    </row>
    <row r="87" spans="4:7" ht="15.95" customHeight="1">
      <c r="D87" s="36"/>
      <c r="E87" s="37"/>
      <c r="F87" s="37"/>
    </row>
    <row r="88" spans="4:7" ht="15.95" customHeight="1">
      <c r="D88" s="41"/>
      <c r="E88" s="539"/>
      <c r="F88" s="539"/>
    </row>
    <row r="89" spans="4:7" ht="15.95" customHeight="1">
      <c r="D89" s="36"/>
      <c r="E89" s="37"/>
      <c r="F89" s="37"/>
      <c r="G89" s="218"/>
    </row>
    <row r="90" spans="4:7" ht="15.95" customHeight="1">
      <c r="D90" s="41"/>
      <c r="E90" s="539"/>
      <c r="F90" s="539"/>
      <c r="G90" s="218"/>
    </row>
    <row r="91" spans="4:7" ht="15.95" customHeight="1">
      <c r="D91" s="36"/>
      <c r="E91" s="37"/>
      <c r="F91" s="37"/>
      <c r="G91" s="218"/>
    </row>
    <row r="92" spans="4:7" ht="15.95" customHeight="1">
      <c r="D92" s="540"/>
      <c r="E92" s="541"/>
      <c r="F92" s="541"/>
      <c r="G92" s="218"/>
    </row>
    <row r="93" spans="4:7" ht="15.95" customHeight="1">
      <c r="D93" s="39"/>
      <c r="E93" s="40"/>
      <c r="F93" s="40"/>
      <c r="G93" s="218"/>
    </row>
    <row r="94" spans="4:7" ht="15.95" customHeight="1">
      <c r="D94" s="540"/>
      <c r="E94" s="541"/>
      <c r="F94" s="541"/>
      <c r="G94" s="218"/>
    </row>
    <row r="95" spans="4:7" ht="15.95" customHeight="1">
      <c r="D95" s="41"/>
      <c r="E95" s="240"/>
      <c r="F95" s="240"/>
    </row>
    <row r="96" spans="4:7" s="200" customFormat="1" ht="15.95" customHeight="1">
      <c r="D96" s="542"/>
      <c r="E96" s="240"/>
      <c r="F96" s="240"/>
    </row>
    <row r="97" spans="4:7" ht="15.95" customHeight="1">
      <c r="E97" s="43"/>
      <c r="F97" s="43"/>
    </row>
    <row r="98" spans="4:7" ht="15.95" customHeight="1">
      <c r="D98" s="547"/>
    </row>
    <row r="99" spans="4:7" ht="15.95" customHeight="1">
      <c r="D99" s="42"/>
      <c r="G99" s="200"/>
    </row>
    <row r="100" spans="4:7" ht="15.95" customHeight="1">
      <c r="D100" s="448"/>
      <c r="G100" s="200"/>
    </row>
    <row r="101" spans="4:7">
      <c r="D101" s="448"/>
    </row>
    <row r="102" spans="4:7">
      <c r="E102" s="239"/>
      <c r="F102" s="239"/>
    </row>
  </sheetData>
  <hyperlinks>
    <hyperlink ref="B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drawing r:id="rId2"/>
  <legacyDrawing r:id="rId3"/>
  <legacyDrawingHF r:id="rId4"/>
  <controls>
    <mc:AlternateContent xmlns:mc="http://schemas.openxmlformats.org/markup-compatibility/2006">
      <mc:Choice Requires="x14">
        <control shapeId="97281" r:id="rId5" name="ComboBox1">
          <controlPr defaultSize="0" autoLine="0" linkedCell="språk" listFillRange="language" r:id="rId6">
            <anchor moveWithCells="1">
              <from>
                <xdr:col>4</xdr:col>
                <xdr:colOff>200025</xdr:colOff>
                <xdr:row>3</xdr:row>
                <xdr:rowOff>66675</xdr:rowOff>
              </from>
              <to>
                <xdr:col>8</xdr:col>
                <xdr:colOff>381000</xdr:colOff>
                <xdr:row>6</xdr:row>
                <xdr:rowOff>90488</xdr:rowOff>
              </to>
            </anchor>
          </controlPr>
        </control>
      </mc:Choice>
      <mc:Fallback>
        <control shapeId="97281" r:id="rId5" name="ComboBox1"/>
      </mc:Fallback>
    </mc:AlternateContent>
    <mc:AlternateContent xmlns:mc="http://schemas.openxmlformats.org/markup-compatibility/2006">
      <mc:Choice Requires="x14">
        <control shapeId="97282" r:id="rId7" name="Label1">
          <controlPr defaultSize="0" autoLine="0" r:id="rId8">
            <anchor moveWithCells="1">
              <from>
                <xdr:col>4</xdr:col>
                <xdr:colOff>209550</xdr:colOff>
                <xdr:row>1</xdr:row>
                <xdr:rowOff>180975</xdr:rowOff>
              </from>
              <to>
                <xdr:col>8</xdr:col>
                <xdr:colOff>400050</xdr:colOff>
                <xdr:row>3</xdr:row>
                <xdr:rowOff>47625</xdr:rowOff>
              </to>
            </anchor>
          </controlPr>
        </control>
      </mc:Choice>
      <mc:Fallback>
        <control shapeId="97282" r:id="rId7" name="Label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theme="0"/>
  </sheetPr>
  <dimension ref="A1:M43"/>
  <sheetViews>
    <sheetView showGridLines="0" zoomScaleNormal="100" workbookViewId="0">
      <pane ySplit="6" topLeftCell="A7" activePane="bottomLeft" state="frozen"/>
      <selection pane="bottomLeft" activeCell="B1" sqref="B1"/>
    </sheetView>
  </sheetViews>
  <sheetFormatPr defaultRowHeight="14.25"/>
  <cols>
    <col min="1" max="1" width="7.73046875" customWidth="1"/>
    <col min="2" max="4" width="18.73046875" customWidth="1"/>
  </cols>
  <sheetData>
    <row r="1" spans="1:4">
      <c r="A1" s="524" t="str">
        <f>IF(språk=lista[[#Headers],[Svenska]],"Innehåll",IF(språk=lista[[#Headers],[English]],"Contents","FEL"))</f>
        <v>Contents</v>
      </c>
    </row>
    <row r="3" spans="1:4" ht="33.75" customHeight="1">
      <c r="A3" s="1061" t="str">
        <f>IFERROR(INDEX(lista[],MATCH($A5,lista[ID],0),MATCH(språk,lista[#Headers],0)),"")</f>
        <v>Windpower, number of turbines, capacity (MW) and production (GWh), from 1982</v>
      </c>
      <c r="B3" s="1061"/>
      <c r="C3" s="1061"/>
      <c r="D3" s="1061"/>
    </row>
    <row r="4" spans="1:4" ht="15.75">
      <c r="A4" s="317"/>
    </row>
    <row r="5" spans="1:4" hidden="1">
      <c r="A5">
        <v>38</v>
      </c>
      <c r="B5" t="s">
        <v>647</v>
      </c>
      <c r="C5" t="s">
        <v>648</v>
      </c>
      <c r="D5" t="s">
        <v>649</v>
      </c>
    </row>
    <row r="6" spans="1:4">
      <c r="A6" s="422"/>
      <c r="B6" s="413" t="str">
        <f>IFERROR(INDEX(_6.4[],MATCH(språk,_6.4[[id]:[id]],0),MATCH(B$5,_6.4[#Headers],0)),"")</f>
        <v>No of turbines</v>
      </c>
      <c r="C6" s="413" t="str">
        <f>IFERROR(INDEX(_6.4[],MATCH(språk,_6.4[[id]:[id]],0),MATCH(C$5,_6.4[#Headers],0)),"")</f>
        <v>Capacity (MW)</v>
      </c>
      <c r="D6" s="413" t="str">
        <f>IFERROR(INDEX(_6.4[],MATCH(språk,_6.4[[id]:[id]],0),MATCH(D$5,_6.4[#Headers],0)),"")</f>
        <v>Production (GWh)</v>
      </c>
    </row>
    <row r="7" spans="1:4">
      <c r="A7" s="942">
        <v>1982</v>
      </c>
      <c r="B7" s="888">
        <v>1</v>
      </c>
      <c r="C7" s="888">
        <v>3</v>
      </c>
      <c r="D7" s="888">
        <v>0</v>
      </c>
    </row>
    <row r="8" spans="1:4">
      <c r="A8" s="943">
        <v>1983</v>
      </c>
      <c r="B8" s="640">
        <v>3</v>
      </c>
      <c r="C8" s="640">
        <v>5</v>
      </c>
      <c r="D8" s="640">
        <v>0</v>
      </c>
    </row>
    <row r="9" spans="1:4">
      <c r="A9" s="942">
        <v>1984</v>
      </c>
      <c r="B9" s="888">
        <v>4</v>
      </c>
      <c r="C9" s="888">
        <v>5</v>
      </c>
      <c r="D9" s="888">
        <v>0.1</v>
      </c>
    </row>
    <row r="10" spans="1:4">
      <c r="A10" s="943">
        <v>1985</v>
      </c>
      <c r="B10" s="640">
        <v>4</v>
      </c>
      <c r="C10" s="640">
        <v>5</v>
      </c>
      <c r="D10" s="640">
        <v>0.1</v>
      </c>
    </row>
    <row r="11" spans="1:4">
      <c r="A11" s="942">
        <v>1986</v>
      </c>
      <c r="B11" s="888">
        <v>4</v>
      </c>
      <c r="C11" s="888">
        <v>5</v>
      </c>
      <c r="D11" s="888">
        <v>0.3</v>
      </c>
    </row>
    <row r="12" spans="1:4">
      <c r="A12" s="943">
        <v>1987</v>
      </c>
      <c r="B12" s="640">
        <v>6</v>
      </c>
      <c r="C12" s="640">
        <v>5</v>
      </c>
      <c r="D12" s="640">
        <v>0.6</v>
      </c>
    </row>
    <row r="13" spans="1:4">
      <c r="A13" s="942">
        <v>1988</v>
      </c>
      <c r="B13" s="888">
        <v>16</v>
      </c>
      <c r="C13" s="888">
        <v>6</v>
      </c>
      <c r="D13" s="888">
        <v>1.3</v>
      </c>
    </row>
    <row r="14" spans="1:4">
      <c r="A14" s="943">
        <v>1989</v>
      </c>
      <c r="B14" s="640">
        <v>20</v>
      </c>
      <c r="C14" s="640">
        <v>6</v>
      </c>
      <c r="D14" s="640">
        <v>2.7</v>
      </c>
    </row>
    <row r="15" spans="1:4">
      <c r="A15" s="942">
        <v>1990</v>
      </c>
      <c r="B15" s="888">
        <v>31</v>
      </c>
      <c r="C15" s="888">
        <v>8</v>
      </c>
      <c r="D15" s="888">
        <v>5.6</v>
      </c>
    </row>
    <row r="16" spans="1:4">
      <c r="A16" s="943">
        <v>1991</v>
      </c>
      <c r="B16" s="640">
        <v>52</v>
      </c>
      <c r="C16" s="640">
        <v>9</v>
      </c>
      <c r="D16" s="640">
        <v>11</v>
      </c>
    </row>
    <row r="17" spans="1:13">
      <c r="A17" s="942">
        <v>1992</v>
      </c>
      <c r="B17" s="888">
        <v>86</v>
      </c>
      <c r="C17" s="888">
        <v>16</v>
      </c>
      <c r="D17" s="888">
        <v>27</v>
      </c>
    </row>
    <row r="18" spans="1:13">
      <c r="A18" s="943">
        <v>1993</v>
      </c>
      <c r="B18" s="640">
        <v>129</v>
      </c>
      <c r="C18" s="640">
        <v>26</v>
      </c>
      <c r="D18" s="640">
        <v>47</v>
      </c>
    </row>
    <row r="19" spans="1:13">
      <c r="A19" s="942">
        <v>1994</v>
      </c>
      <c r="B19" s="888">
        <v>157</v>
      </c>
      <c r="C19" s="888">
        <v>38</v>
      </c>
      <c r="D19" s="888">
        <v>75</v>
      </c>
    </row>
    <row r="20" spans="1:13">
      <c r="A20" s="943">
        <v>1995</v>
      </c>
      <c r="B20" s="640">
        <v>219</v>
      </c>
      <c r="C20" s="640">
        <v>67</v>
      </c>
      <c r="D20" s="640">
        <v>106</v>
      </c>
    </row>
    <row r="21" spans="1:13">
      <c r="A21" s="942">
        <v>1996</v>
      </c>
      <c r="B21" s="888">
        <v>303</v>
      </c>
      <c r="C21" s="888">
        <v>102</v>
      </c>
      <c r="D21" s="888">
        <v>146</v>
      </c>
    </row>
    <row r="22" spans="1:13">
      <c r="A22" s="943">
        <v>1997</v>
      </c>
      <c r="B22" s="640">
        <v>334</v>
      </c>
      <c r="C22" s="640">
        <v>121</v>
      </c>
      <c r="D22" s="640">
        <v>206</v>
      </c>
    </row>
    <row r="23" spans="1:13">
      <c r="A23" s="942">
        <v>1998</v>
      </c>
      <c r="B23" s="888">
        <v>428</v>
      </c>
      <c r="C23" s="888">
        <v>178</v>
      </c>
      <c r="D23" s="888">
        <v>318</v>
      </c>
    </row>
    <row r="24" spans="1:13">
      <c r="A24" s="943">
        <v>1999</v>
      </c>
      <c r="B24" s="640">
        <v>486</v>
      </c>
      <c r="C24" s="640">
        <v>220</v>
      </c>
      <c r="D24" s="640">
        <v>373</v>
      </c>
    </row>
    <row r="25" spans="1:13">
      <c r="A25" s="942">
        <v>2000</v>
      </c>
      <c r="B25" s="888">
        <v>527</v>
      </c>
      <c r="C25" s="888">
        <v>241</v>
      </c>
      <c r="D25" s="888">
        <v>447</v>
      </c>
    </row>
    <row r="26" spans="1:13">
      <c r="A26" s="943">
        <v>2001</v>
      </c>
      <c r="B26" s="640">
        <v>570</v>
      </c>
      <c r="C26" s="640">
        <v>295</v>
      </c>
      <c r="D26" s="640">
        <v>482</v>
      </c>
    </row>
    <row r="27" spans="1:13">
      <c r="A27" s="942">
        <v>2002</v>
      </c>
      <c r="B27" s="888">
        <v>620</v>
      </c>
      <c r="C27" s="888">
        <v>345</v>
      </c>
      <c r="D27" s="888">
        <v>609</v>
      </c>
    </row>
    <row r="28" spans="1:13">
      <c r="A28" s="943">
        <v>2003</v>
      </c>
      <c r="B28" s="640">
        <v>667</v>
      </c>
      <c r="C28" s="640">
        <v>402</v>
      </c>
      <c r="D28" s="640">
        <v>631</v>
      </c>
    </row>
    <row r="29" spans="1:13">
      <c r="A29" s="942">
        <v>2004</v>
      </c>
      <c r="B29" s="888">
        <v>764</v>
      </c>
      <c r="C29" s="888">
        <v>475</v>
      </c>
      <c r="D29" s="888">
        <v>865</v>
      </c>
    </row>
    <row r="30" spans="1:13">
      <c r="A30" s="943">
        <v>2005</v>
      </c>
      <c r="B30" s="640">
        <v>813</v>
      </c>
      <c r="C30" s="640">
        <v>522</v>
      </c>
      <c r="D30" s="640">
        <v>939</v>
      </c>
    </row>
    <row r="31" spans="1:13">
      <c r="A31" s="942">
        <v>2006</v>
      </c>
      <c r="B31" s="888">
        <v>867</v>
      </c>
      <c r="C31" s="888">
        <v>585</v>
      </c>
      <c r="D31" s="888">
        <v>988</v>
      </c>
    </row>
    <row r="32" spans="1:13">
      <c r="A32" s="943">
        <v>2007</v>
      </c>
      <c r="B32" s="640">
        <v>1009</v>
      </c>
      <c r="C32" s="640">
        <v>822</v>
      </c>
      <c r="D32" s="640">
        <v>1432</v>
      </c>
      <c r="I32" s="1043"/>
      <c r="J32" s="1043"/>
      <c r="K32" s="1043"/>
      <c r="L32" s="1043"/>
      <c r="M32" s="1043"/>
    </row>
    <row r="33" spans="1:11">
      <c r="A33" s="942">
        <v>2008</v>
      </c>
      <c r="B33" s="888">
        <v>1166</v>
      </c>
      <c r="C33" s="888">
        <v>1090</v>
      </c>
      <c r="D33" s="888">
        <v>2001</v>
      </c>
      <c r="G33" s="1044"/>
      <c r="H33" s="1044"/>
      <c r="I33" s="1044"/>
      <c r="J33" s="1044"/>
      <c r="K33" s="1044"/>
    </row>
    <row r="34" spans="1:11">
      <c r="A34" s="943">
        <v>2009</v>
      </c>
      <c r="B34" s="640">
        <v>1371</v>
      </c>
      <c r="C34" s="640">
        <v>1476</v>
      </c>
      <c r="D34" s="640">
        <v>2490</v>
      </c>
    </row>
    <row r="35" spans="1:11">
      <c r="A35" s="942">
        <v>2010</v>
      </c>
      <c r="B35" s="888">
        <v>1658</v>
      </c>
      <c r="C35" s="888">
        <v>2018</v>
      </c>
      <c r="D35" s="888">
        <v>3487</v>
      </c>
    </row>
    <row r="36" spans="1:11">
      <c r="A36" s="943">
        <v>2011</v>
      </c>
      <c r="B36" s="640">
        <v>2018</v>
      </c>
      <c r="C36" s="640">
        <v>2765</v>
      </c>
      <c r="D36" s="640">
        <v>6110</v>
      </c>
    </row>
    <row r="37" spans="1:11">
      <c r="A37" s="942">
        <v>2012</v>
      </c>
      <c r="B37" s="888">
        <v>2384</v>
      </c>
      <c r="C37" s="888">
        <v>3607</v>
      </c>
      <c r="D37" s="888">
        <v>7164</v>
      </c>
      <c r="G37" s="1045"/>
      <c r="H37" s="1045"/>
      <c r="I37" s="1045"/>
      <c r="J37" s="1045"/>
      <c r="K37" s="1045"/>
    </row>
    <row r="38" spans="1:11">
      <c r="A38" s="943">
        <v>2013</v>
      </c>
      <c r="B38" s="640">
        <v>2638</v>
      </c>
      <c r="C38" s="640">
        <v>4194</v>
      </c>
      <c r="D38" s="640">
        <v>9842</v>
      </c>
    </row>
    <row r="39" spans="1:11">
      <c r="A39" s="942">
        <v>2014</v>
      </c>
      <c r="B39" s="888">
        <v>2955</v>
      </c>
      <c r="C39" s="888">
        <v>5087</v>
      </c>
      <c r="D39" s="888">
        <v>11234</v>
      </c>
    </row>
    <row r="40" spans="1:11" s="549" customFormat="1">
      <c r="A40" s="943">
        <v>2015</v>
      </c>
      <c r="B40" s="640">
        <v>3163</v>
      </c>
      <c r="C40" s="640">
        <v>5818</v>
      </c>
      <c r="D40" s="640">
        <v>16323</v>
      </c>
    </row>
    <row r="41" spans="1:11" s="1025" customFormat="1">
      <c r="A41" s="1034">
        <v>2016</v>
      </c>
      <c r="B41" s="1031">
        <v>3334</v>
      </c>
      <c r="C41" s="1031">
        <v>6434</v>
      </c>
      <c r="D41" s="1031">
        <v>15479</v>
      </c>
    </row>
    <row r="43" spans="1:11">
      <c r="A43" s="439"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theme="0"/>
  </sheetPr>
  <dimension ref="A1:M34"/>
  <sheetViews>
    <sheetView showGridLines="0" zoomScaleNormal="100" workbookViewId="0">
      <pane ySplit="6" topLeftCell="A7" activePane="bottomLeft" state="frozen"/>
      <selection pane="bottomLeft" activeCell="D1" sqref="D1"/>
    </sheetView>
  </sheetViews>
  <sheetFormatPr defaultColWidth="9.1328125" defaultRowHeight="13.15"/>
  <cols>
    <col min="1" max="1" width="8" style="1" customWidth="1"/>
    <col min="2" max="7" width="13.73046875" style="1" customWidth="1"/>
    <col min="8" max="16384" width="9.1328125" style="1"/>
  </cols>
  <sheetData>
    <row r="1" spans="1:13" ht="15.95" customHeight="1">
      <c r="A1" s="524" t="str">
        <f>IF(språk=lista[[#Headers],[Svenska]],"Innehåll",IF(språk=lista[[#Headers],[English]],"Contents","FEL"))</f>
        <v>Contents</v>
      </c>
    </row>
    <row r="2" spans="1:13" ht="15.95" customHeight="1"/>
    <row r="3" spans="1:13" ht="15.95" customHeight="1">
      <c r="A3" s="424" t="str">
        <f>IFERROR(INDEX(lista[],MATCH($A5,lista[ID],0),MATCH(språk,lista[#Headers],0)),"")</f>
        <v>Electricity production by type of power in the electricity certificate system, from 2003, GWh</v>
      </c>
      <c r="B3" s="315"/>
      <c r="C3" s="315"/>
      <c r="D3" s="315"/>
      <c r="E3" s="198"/>
      <c r="F3" s="198"/>
      <c r="G3" s="198"/>
      <c r="H3" s="198"/>
      <c r="I3" s="198"/>
    </row>
    <row r="4" spans="1:13" ht="15.95" customHeight="1">
      <c r="A4" s="424"/>
      <c r="B4" s="315"/>
      <c r="C4" s="315"/>
      <c r="D4" s="315"/>
      <c r="E4" s="198"/>
      <c r="F4" s="198"/>
      <c r="G4" s="198"/>
      <c r="H4" s="198"/>
      <c r="I4" s="198"/>
    </row>
    <row r="5" spans="1:13" ht="15.95" hidden="1" customHeight="1">
      <c r="A5" s="1">
        <v>39</v>
      </c>
      <c r="B5" s="1" t="s">
        <v>647</v>
      </c>
      <c r="C5" s="1" t="s">
        <v>648</v>
      </c>
      <c r="D5" s="1" t="s">
        <v>649</v>
      </c>
      <c r="E5" s="1" t="s">
        <v>650</v>
      </c>
      <c r="F5" s="1" t="s">
        <v>651</v>
      </c>
    </row>
    <row r="6" spans="1:13" ht="15.95" customHeight="1" thickBot="1">
      <c r="A6" s="960"/>
      <c r="B6" s="961" t="str">
        <f>IFERROR(INDEX(_6.5[],MATCH(språk,_6.5[[id]:[id]],0),MATCH(B$5,_6.5[#Headers],0)),"")</f>
        <v>Hydropower</v>
      </c>
      <c r="C6" s="961" t="str">
        <f>IFERROR(INDEX(_6.5[],MATCH(språk,_6.5[[id]:[id]],0),MATCH(C$5,_6.5[#Headers],0)),"")</f>
        <v>Windpower</v>
      </c>
      <c r="D6" s="961" t="str">
        <f>IFERROR(INDEX(_6.5[],MATCH(språk,_6.5[[id]:[id]],0),MATCH(D$5,_6.5[#Headers],0)),"")</f>
        <v>Biomass</v>
      </c>
      <c r="E6" s="961" t="str">
        <f>IFERROR(INDEX(_6.5[],MATCH(språk,_6.5[[id]:[id]],0),MATCH(E$5,_6.5[#Headers],0)),"")</f>
        <v>Peat</v>
      </c>
      <c r="F6" s="961" t="str">
        <f>IFERROR(INDEX(_6.5[],MATCH(språk,_6.5[[id]:[id]],0),MATCH(F$5,_6.5[#Headers],0)),"")</f>
        <v>Solar</v>
      </c>
      <c r="G6" s="962" t="str">
        <f>IF(språk=lista[[#Headers],[Svenska]],"Totalt",IF(språk=lista[[#Headers],[English]],"Total","FEL"))</f>
        <v>Total</v>
      </c>
    </row>
    <row r="7" spans="1:13" ht="15.95" customHeight="1">
      <c r="A7" s="963">
        <v>2003</v>
      </c>
      <c r="B7" s="949">
        <v>963.63699999999994</v>
      </c>
      <c r="C7" s="949">
        <v>455.24299999999999</v>
      </c>
      <c r="D7" s="949">
        <v>4218.2759999999998</v>
      </c>
      <c r="E7" s="949"/>
      <c r="F7" s="949">
        <v>4.0000000000000001E-3</v>
      </c>
      <c r="G7" s="950">
        <v>5637.16</v>
      </c>
    </row>
    <row r="8" spans="1:13" ht="15.95" customHeight="1">
      <c r="A8" s="964">
        <v>2004</v>
      </c>
      <c r="B8" s="952">
        <v>1968.242</v>
      </c>
      <c r="C8" s="952">
        <v>864.54600000000005</v>
      </c>
      <c r="D8" s="952">
        <v>7670.78</v>
      </c>
      <c r="E8" s="952">
        <v>544.78099999999995</v>
      </c>
      <c r="F8" s="952">
        <v>6.0000000000000001E-3</v>
      </c>
      <c r="G8" s="953">
        <v>11048.354999999998</v>
      </c>
      <c r="H8" s="225"/>
      <c r="I8" s="225"/>
      <c r="J8" s="225"/>
      <c r="K8" s="225"/>
      <c r="L8" s="225"/>
      <c r="M8" s="225"/>
    </row>
    <row r="9" spans="1:13" ht="15.95" customHeight="1">
      <c r="A9" s="963">
        <v>2005</v>
      </c>
      <c r="B9" s="949">
        <v>1798.7170000000001</v>
      </c>
      <c r="C9" s="949">
        <v>939.125</v>
      </c>
      <c r="D9" s="949">
        <v>7925.7939999999999</v>
      </c>
      <c r="E9" s="949">
        <v>634.00800000000004</v>
      </c>
      <c r="F9" s="949">
        <v>5.0000000000000001E-3</v>
      </c>
      <c r="G9" s="950">
        <v>11297.648999999999</v>
      </c>
      <c r="H9" s="225"/>
      <c r="I9" s="225"/>
      <c r="J9" s="226"/>
      <c r="K9" s="226"/>
      <c r="L9" s="226"/>
      <c r="M9" s="226"/>
    </row>
    <row r="10" spans="1:13" ht="15.95" customHeight="1">
      <c r="A10" s="964">
        <v>2006</v>
      </c>
      <c r="B10" s="952">
        <v>2018.52</v>
      </c>
      <c r="C10" s="952">
        <v>988.34</v>
      </c>
      <c r="D10" s="952">
        <v>8593.5360000000001</v>
      </c>
      <c r="E10" s="952">
        <v>556.38199999999995</v>
      </c>
      <c r="F10" s="952">
        <v>0.02</v>
      </c>
      <c r="G10" s="953">
        <v>12156.798000000001</v>
      </c>
      <c r="H10" s="225"/>
      <c r="I10" s="225"/>
      <c r="J10" s="226"/>
      <c r="K10" s="226"/>
      <c r="L10" s="226"/>
      <c r="M10" s="226"/>
    </row>
    <row r="11" spans="1:13" ht="15.95" customHeight="1">
      <c r="A11" s="963">
        <v>2007</v>
      </c>
      <c r="B11" s="949">
        <v>2195.3470000000002</v>
      </c>
      <c r="C11" s="949">
        <v>1431.644</v>
      </c>
      <c r="D11" s="949">
        <v>9049.6550000000007</v>
      </c>
      <c r="E11" s="949">
        <v>579.62099999999998</v>
      </c>
      <c r="F11" s="949">
        <v>1.9E-2</v>
      </c>
      <c r="G11" s="950">
        <v>13256.286</v>
      </c>
      <c r="H11" s="225"/>
      <c r="I11" s="225"/>
      <c r="J11" s="226"/>
      <c r="K11" s="226"/>
      <c r="L11" s="226"/>
      <c r="M11" s="226"/>
    </row>
    <row r="12" spans="1:13" ht="15.95" customHeight="1">
      <c r="A12" s="964">
        <v>2008</v>
      </c>
      <c r="B12" s="952">
        <v>2607.3490000000002</v>
      </c>
      <c r="C12" s="952">
        <v>2000.308</v>
      </c>
      <c r="D12" s="952">
        <v>9599.3140000000003</v>
      </c>
      <c r="E12" s="952">
        <v>834.19100000000003</v>
      </c>
      <c r="F12" s="952">
        <v>0.129</v>
      </c>
      <c r="G12" s="953">
        <v>15041.291000000003</v>
      </c>
      <c r="H12" s="225"/>
      <c r="I12" s="225"/>
      <c r="J12" s="226"/>
      <c r="K12" s="226"/>
      <c r="L12" s="226"/>
      <c r="M12" s="226"/>
    </row>
    <row r="13" spans="1:13" ht="15.95" customHeight="1">
      <c r="A13" s="963">
        <v>2009</v>
      </c>
      <c r="B13" s="949">
        <v>2441.6239999999998</v>
      </c>
      <c r="C13" s="949">
        <v>2490.1190000000001</v>
      </c>
      <c r="D13" s="949">
        <v>9765.9889999999996</v>
      </c>
      <c r="E13" s="949">
        <v>871.43100000000004</v>
      </c>
      <c r="F13" s="949">
        <v>0.21199999999999999</v>
      </c>
      <c r="G13" s="950">
        <v>15569.375</v>
      </c>
      <c r="H13" s="225"/>
      <c r="I13" s="225"/>
      <c r="J13" s="226"/>
      <c r="K13" s="226"/>
      <c r="L13" s="226"/>
      <c r="M13" s="226"/>
    </row>
    <row r="14" spans="1:13" ht="15.95" customHeight="1">
      <c r="A14" s="964">
        <v>2010</v>
      </c>
      <c r="B14" s="952">
        <v>2611.0630000000001</v>
      </c>
      <c r="C14" s="952">
        <v>3486.0770000000002</v>
      </c>
      <c r="D14" s="952">
        <v>11168.923000000001</v>
      </c>
      <c r="E14" s="952">
        <v>792.42399999999998</v>
      </c>
      <c r="F14" s="952">
        <v>0.27800000000000002</v>
      </c>
      <c r="G14" s="953">
        <v>18058.764999999999</v>
      </c>
      <c r="H14" s="225"/>
      <c r="I14" s="225"/>
      <c r="J14" s="226"/>
      <c r="K14" s="226"/>
      <c r="L14" s="226"/>
      <c r="M14" s="226"/>
    </row>
    <row r="15" spans="1:13" ht="15.95" customHeight="1">
      <c r="A15" s="963">
        <v>2011</v>
      </c>
      <c r="B15" s="949">
        <v>2703.1860000000001</v>
      </c>
      <c r="C15" s="949">
        <v>6104.1350000000002</v>
      </c>
      <c r="D15" s="949">
        <v>10337.664000000001</v>
      </c>
      <c r="E15" s="949">
        <v>658.33900000000006</v>
      </c>
      <c r="F15" s="949">
        <v>0.55600000000000005</v>
      </c>
      <c r="G15" s="950">
        <v>19803.88</v>
      </c>
    </row>
    <row r="16" spans="1:13" ht="15.95" customHeight="1">
      <c r="A16" s="964">
        <v>2012</v>
      </c>
      <c r="B16" s="952">
        <v>3145.65</v>
      </c>
      <c r="C16" s="952">
        <v>7163.3389999999999</v>
      </c>
      <c r="D16" s="952">
        <v>10646.635</v>
      </c>
      <c r="E16" s="952">
        <v>554.49099999999999</v>
      </c>
      <c r="F16" s="952">
        <v>1.0289999999999999</v>
      </c>
      <c r="G16" s="953">
        <v>21511.143999999997</v>
      </c>
    </row>
    <row r="17" spans="1:11" ht="15.95" customHeight="1">
      <c r="A17" s="963">
        <v>2013</v>
      </c>
      <c r="B17" s="949">
        <v>844.70899999999995</v>
      </c>
      <c r="C17" s="949">
        <v>9686.1460000000006</v>
      </c>
      <c r="D17" s="949">
        <v>5154.5150000000003</v>
      </c>
      <c r="E17" s="949">
        <v>129.03200000000001</v>
      </c>
      <c r="F17" s="949">
        <v>3.7050000000000001</v>
      </c>
      <c r="G17" s="950">
        <v>15818.107000000002</v>
      </c>
    </row>
    <row r="18" spans="1:11" ht="15.95" customHeight="1">
      <c r="A18" s="964">
        <v>2014</v>
      </c>
      <c r="B18" s="952">
        <v>1376.114</v>
      </c>
      <c r="C18" s="952">
        <v>11023.759</v>
      </c>
      <c r="D18" s="952">
        <v>4705.9449999999997</v>
      </c>
      <c r="E18" s="952">
        <v>106.379</v>
      </c>
      <c r="F18" s="952">
        <v>10.771000000000001</v>
      </c>
      <c r="G18" s="953">
        <v>17222.968000000001</v>
      </c>
    </row>
    <row r="19" spans="1:11" ht="15.95" customHeight="1">
      <c r="A19" s="963">
        <v>2015</v>
      </c>
      <c r="B19" s="949">
        <v>1703.2090000000001</v>
      </c>
      <c r="C19" s="949">
        <v>15614.32</v>
      </c>
      <c r="D19" s="949">
        <v>4345.2</v>
      </c>
      <c r="E19" s="949">
        <v>73.212999999999994</v>
      </c>
      <c r="F19" s="949">
        <v>24.544</v>
      </c>
      <c r="G19" s="950">
        <v>21760.486000000001</v>
      </c>
      <c r="I19" s="224"/>
      <c r="J19" s="224"/>
      <c r="K19" s="224"/>
    </row>
    <row r="20" spans="1:11" ht="15.95" customHeight="1">
      <c r="A20" s="965">
        <v>2016</v>
      </c>
      <c r="B20" s="955">
        <v>1436.317</v>
      </c>
      <c r="C20" s="955">
        <v>14933.255999999999</v>
      </c>
      <c r="D20" s="955">
        <v>4509.5339999999997</v>
      </c>
      <c r="E20" s="955">
        <v>85.536000000000001</v>
      </c>
      <c r="F20" s="955">
        <v>45.344999999999999</v>
      </c>
      <c r="G20" s="956">
        <v>21009.988000000001</v>
      </c>
      <c r="I20" s="224"/>
      <c r="J20" s="224"/>
      <c r="K20" s="224"/>
    </row>
    <row r="21" spans="1:11" ht="15.95" customHeight="1">
      <c r="A21" s="965"/>
      <c r="B21" s="955"/>
      <c r="C21" s="955"/>
      <c r="D21" s="955"/>
      <c r="E21" s="955"/>
      <c r="F21" s="955"/>
      <c r="G21" s="956"/>
      <c r="I21" s="224"/>
      <c r="J21" s="224"/>
      <c r="K21" s="224"/>
    </row>
    <row r="22" spans="1:11">
      <c r="A22" s="1" t="s">
        <v>220</v>
      </c>
      <c r="I22" s="224"/>
      <c r="J22" s="224"/>
      <c r="K22" s="224"/>
    </row>
    <row r="23" spans="1:11">
      <c r="A23" s="1062"/>
      <c r="B23" s="323"/>
      <c r="C23" s="323"/>
      <c r="D23" s="323"/>
      <c r="E23" s="323"/>
      <c r="F23" s="323"/>
    </row>
    <row r="24" spans="1:11">
      <c r="A24" s="1062"/>
      <c r="B24" s="323"/>
      <c r="C24" s="323"/>
      <c r="D24" s="323"/>
      <c r="E24" s="323"/>
      <c r="F24" s="323"/>
    </row>
    <row r="25" spans="1:11" ht="14.25">
      <c r="A25" s="325"/>
      <c r="B25" s="326"/>
      <c r="C25" s="326"/>
      <c r="D25" s="326"/>
      <c r="E25" s="327"/>
      <c r="F25" s="328"/>
      <c r="G25" s="324"/>
    </row>
    <row r="26" spans="1:11" ht="14.25">
      <c r="A26" s="325"/>
      <c r="B26" s="326"/>
      <c r="C26" s="326"/>
      <c r="D26" s="326"/>
      <c r="E26" s="326"/>
      <c r="F26" s="328"/>
      <c r="G26" s="324"/>
    </row>
    <row r="27" spans="1:11" ht="14.25">
      <c r="A27" s="325"/>
      <c r="B27" s="326"/>
      <c r="C27" s="326"/>
      <c r="D27" s="326"/>
      <c r="E27" s="326"/>
      <c r="F27" s="328"/>
      <c r="G27" s="324"/>
    </row>
    <row r="28" spans="1:11" ht="14.25">
      <c r="A28" s="325"/>
      <c r="B28" s="326"/>
      <c r="C28" s="326"/>
      <c r="D28" s="326"/>
      <c r="E28" s="326"/>
      <c r="F28" s="328"/>
      <c r="G28" s="324"/>
    </row>
    <row r="29" spans="1:11" ht="14.25">
      <c r="A29" s="325"/>
      <c r="B29" s="326"/>
      <c r="C29" s="326"/>
      <c r="D29" s="326"/>
      <c r="E29" s="326"/>
      <c r="F29" s="328"/>
      <c r="G29" s="324"/>
    </row>
    <row r="30" spans="1:11" ht="14.25">
      <c r="A30" s="325"/>
      <c r="B30" s="326"/>
      <c r="C30" s="326"/>
      <c r="D30" s="326"/>
      <c r="E30" s="326"/>
      <c r="F30" s="328"/>
      <c r="G30" s="324"/>
    </row>
    <row r="31" spans="1:11" ht="14.25">
      <c r="A31" s="325"/>
      <c r="B31" s="326"/>
      <c r="C31" s="326"/>
      <c r="D31" s="326"/>
      <c r="E31" s="326"/>
      <c r="F31" s="328"/>
      <c r="G31" s="324"/>
    </row>
    <row r="32" spans="1:11" ht="14.25">
      <c r="A32" s="325"/>
      <c r="B32" s="326"/>
      <c r="C32" s="326"/>
      <c r="D32" s="326"/>
      <c r="E32" s="326"/>
      <c r="F32" s="328"/>
      <c r="G32" s="324"/>
    </row>
    <row r="33" spans="1:7" ht="14.25">
      <c r="A33" s="325"/>
      <c r="B33" s="326"/>
      <c r="C33" s="326"/>
      <c r="D33" s="326"/>
      <c r="E33" s="326"/>
      <c r="F33" s="328"/>
      <c r="G33" s="324"/>
    </row>
    <row r="34" spans="1:7" ht="14.25">
      <c r="A34" s="329"/>
      <c r="B34" s="330"/>
      <c r="C34" s="330"/>
      <c r="D34" s="330"/>
      <c r="E34" s="330"/>
      <c r="F34" s="331"/>
      <c r="G34" s="324"/>
    </row>
  </sheetData>
  <mergeCells count="1">
    <mergeCell ref="A23:A2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theme="0"/>
  </sheetPr>
  <dimension ref="A1:J29"/>
  <sheetViews>
    <sheetView zoomScaleNormal="100" workbookViewId="0">
      <pane ySplit="6" topLeftCell="A7" activePane="bottomLeft" state="frozen"/>
      <selection pane="bottomLeft" activeCell="C1" sqref="C1"/>
    </sheetView>
  </sheetViews>
  <sheetFormatPr defaultColWidth="9.1328125" defaultRowHeight="13.15"/>
  <cols>
    <col min="1" max="1" width="8.1328125" style="1" customWidth="1"/>
    <col min="2" max="9" width="10.73046875" style="1" customWidth="1"/>
    <col min="10" max="16384" width="9.1328125" style="1"/>
  </cols>
  <sheetData>
    <row r="1" spans="1:10" ht="15.95" customHeight="1">
      <c r="A1" s="524" t="str">
        <f>IF(språk=lista[[#Headers],[Svenska]],"Innehåll",IF(språk=lista[[#Headers],[English]],"Contents","FEL"))</f>
        <v>Contents</v>
      </c>
    </row>
    <row r="2" spans="1:10" ht="15.95" customHeight="1"/>
    <row r="3" spans="1:10" ht="15.95" customHeight="1">
      <c r="A3" s="421" t="str">
        <f>IFERROR(INDEX(lista[],MATCH($A5,lista[ID],0),MATCH(språk,lista[#Headers],0)),"")</f>
        <v>Electricity production capacity, from 1996, MW</v>
      </c>
      <c r="B3" s="421"/>
      <c r="C3" s="421"/>
      <c r="D3" s="421"/>
      <c r="E3" s="421"/>
      <c r="F3" s="421"/>
      <c r="G3" s="421"/>
      <c r="H3" s="421"/>
      <c r="I3" s="199"/>
    </row>
    <row r="4" spans="1:10" s="272" customFormat="1" ht="15.95" customHeight="1">
      <c r="A4" s="397"/>
    </row>
    <row r="5" spans="1:10" s="272" customFormat="1" ht="15.95" hidden="1" customHeight="1">
      <c r="A5" s="397">
        <v>40</v>
      </c>
      <c r="B5" s="272" t="s">
        <v>647</v>
      </c>
      <c r="C5" s="272" t="s">
        <v>648</v>
      </c>
      <c r="D5" s="272" t="s">
        <v>649</v>
      </c>
      <c r="E5" s="272" t="s">
        <v>650</v>
      </c>
      <c r="F5" s="272" t="s">
        <v>651</v>
      </c>
      <c r="G5" s="272" t="s">
        <v>652</v>
      </c>
      <c r="H5" s="272" t="s">
        <v>653</v>
      </c>
      <c r="I5" s="272" t="s">
        <v>654</v>
      </c>
    </row>
    <row r="6" spans="1:10" s="130" customFormat="1" ht="27.95" customHeight="1">
      <c r="A6" s="128"/>
      <c r="B6" s="129" t="str">
        <f>IFERROR(INDEX(_6.6[],MATCH(språk,_6.6[[id]:[id]],0),MATCH(B$5,_6.6[#Headers],0)),"")</f>
        <v>Hydropower</v>
      </c>
      <c r="C6" s="129" t="str">
        <f>IFERROR(INDEX(_6.6[],MATCH(språk,_6.6[[id]:[id]],0),MATCH(C$5,_6.6[#Headers],0)),"")</f>
        <v>Nuclear power</v>
      </c>
      <c r="D6" s="129" t="str">
        <f>IFERROR(INDEX(_6.6[],MATCH(språk,_6.6[[id]:[id]],0),MATCH(D$5,_6.6[#Headers],0)),"")</f>
        <v>Other thermal power</v>
      </c>
      <c r="E6" s="129" t="str">
        <f>IFERROR(INDEX(_6.6[],MATCH(språk,_6.6[[id]:[id]],0),MATCH(E$5,_6.6[#Headers],0)),"")</f>
        <v>CHP (district heating)</v>
      </c>
      <c r="F6" s="129" t="str">
        <f>IFERROR(INDEX(_6.6[],MATCH(språk,_6.6[[id]:[id]],0),MATCH(F$5,_6.6[#Headers],0)),"")</f>
        <v>CHP (industry)</v>
      </c>
      <c r="G6" s="129" t="str">
        <f>IFERROR(INDEX(_6.6[],MATCH(språk,_6.6[[id]:[id]],0),MATCH(G$5,_6.6[#Headers],0)),"")</f>
        <v>Gas turbines</v>
      </c>
      <c r="H6" s="129" t="str">
        <f>IFERROR(INDEX(_6.6[],MATCH(språk,_6.6[[id]:[id]],0),MATCH(H$5,_6.6[#Headers],0)),"")</f>
        <v>Windpower</v>
      </c>
      <c r="I6" s="129" t="str">
        <f>IFERROR(INDEX(_6.6[],MATCH(språk,_6.6[[id]:[id]],0),MATCH(I$5,_6.6[#Headers],0)),"")</f>
        <v>Solar power</v>
      </c>
      <c r="J6" s="603" t="str">
        <f>IF(språk=lista[[#Headers],[Svenska]],"Totalt",IF(språk=lista[[#Headers],[English]],"Total","FEL"))</f>
        <v>Total</v>
      </c>
    </row>
    <row r="7" spans="1:10" ht="15.95" customHeight="1">
      <c r="A7" s="795">
        <v>1996</v>
      </c>
      <c r="B7" s="796">
        <v>16203</v>
      </c>
      <c r="C7" s="796">
        <v>10055</v>
      </c>
      <c r="D7" s="796">
        <v>2842</v>
      </c>
      <c r="E7" s="796">
        <v>2464</v>
      </c>
      <c r="F7" s="796">
        <v>776</v>
      </c>
      <c r="G7" s="796">
        <v>1713</v>
      </c>
      <c r="H7" s="796">
        <v>105</v>
      </c>
      <c r="I7" s="796"/>
      <c r="J7" s="797">
        <v>34158</v>
      </c>
    </row>
    <row r="8" spans="1:10" ht="15.95" customHeight="1">
      <c r="A8" s="131">
        <v>1997</v>
      </c>
      <c r="B8" s="202">
        <v>16246</v>
      </c>
      <c r="C8" s="202">
        <v>10056</v>
      </c>
      <c r="D8" s="202">
        <v>2777</v>
      </c>
      <c r="E8" s="202">
        <v>2354</v>
      </c>
      <c r="F8" s="202">
        <v>776</v>
      </c>
      <c r="G8" s="202">
        <v>1713</v>
      </c>
      <c r="H8" s="202">
        <v>122</v>
      </c>
      <c r="I8" s="202"/>
      <c r="J8" s="602">
        <v>34044</v>
      </c>
    </row>
    <row r="9" spans="1:10" ht="15.95" customHeight="1">
      <c r="A9" s="795">
        <v>1998</v>
      </c>
      <c r="B9" s="796">
        <v>16204</v>
      </c>
      <c r="C9" s="796">
        <v>10052</v>
      </c>
      <c r="D9" s="796">
        <v>846</v>
      </c>
      <c r="E9" s="796">
        <v>2246</v>
      </c>
      <c r="F9" s="796">
        <v>841</v>
      </c>
      <c r="G9" s="796">
        <v>1631</v>
      </c>
      <c r="H9" s="796">
        <v>174</v>
      </c>
      <c r="I9" s="796"/>
      <c r="J9" s="797">
        <v>31994</v>
      </c>
    </row>
    <row r="10" spans="1:10" ht="15.95" customHeight="1">
      <c r="A10" s="131">
        <v>1999</v>
      </c>
      <c r="B10" s="202">
        <v>16192</v>
      </c>
      <c r="C10" s="202">
        <v>9452</v>
      </c>
      <c r="D10" s="202">
        <v>452</v>
      </c>
      <c r="E10" s="202">
        <v>2248</v>
      </c>
      <c r="F10" s="202">
        <v>941</v>
      </c>
      <c r="G10" s="202">
        <v>1485</v>
      </c>
      <c r="H10" s="202">
        <v>215</v>
      </c>
      <c r="I10" s="202"/>
      <c r="J10" s="602">
        <v>30985</v>
      </c>
    </row>
    <row r="11" spans="1:10" ht="15.95" customHeight="1">
      <c r="A11" s="795">
        <v>2000</v>
      </c>
      <c r="B11" s="796">
        <v>16229</v>
      </c>
      <c r="C11" s="796">
        <v>9439</v>
      </c>
      <c r="D11" s="796">
        <v>448</v>
      </c>
      <c r="E11" s="796">
        <v>2264</v>
      </c>
      <c r="F11" s="796">
        <v>932</v>
      </c>
      <c r="G11" s="796">
        <v>1341</v>
      </c>
      <c r="H11" s="796">
        <v>241</v>
      </c>
      <c r="I11" s="796"/>
      <c r="J11" s="797">
        <v>30894</v>
      </c>
    </row>
    <row r="12" spans="1:10" ht="15.95" customHeight="1">
      <c r="A12" s="131">
        <v>2001</v>
      </c>
      <c r="B12" s="202">
        <v>16239</v>
      </c>
      <c r="C12" s="202">
        <v>9436</v>
      </c>
      <c r="D12" s="202">
        <v>1023</v>
      </c>
      <c r="E12" s="202">
        <v>2340</v>
      </c>
      <c r="F12" s="202">
        <v>929</v>
      </c>
      <c r="G12" s="202">
        <v>1461</v>
      </c>
      <c r="H12" s="202">
        <v>293</v>
      </c>
      <c r="I12" s="202"/>
      <c r="J12" s="602">
        <v>31721</v>
      </c>
    </row>
    <row r="13" spans="1:10" ht="15.95" customHeight="1">
      <c r="A13" s="795">
        <v>2002</v>
      </c>
      <c r="B13" s="796">
        <v>16097</v>
      </c>
      <c r="C13" s="796">
        <v>9424</v>
      </c>
      <c r="D13" s="796">
        <v>1356</v>
      </c>
      <c r="E13" s="796">
        <v>2492</v>
      </c>
      <c r="F13" s="796">
        <v>956</v>
      </c>
      <c r="G13" s="796">
        <v>1559</v>
      </c>
      <c r="H13" s="796">
        <v>339</v>
      </c>
      <c r="I13" s="796"/>
      <c r="J13" s="797">
        <v>32223</v>
      </c>
    </row>
    <row r="14" spans="1:10" ht="15.95" customHeight="1">
      <c r="A14" s="131">
        <v>2003</v>
      </c>
      <c r="B14" s="202">
        <v>16143</v>
      </c>
      <c r="C14" s="202">
        <v>9441</v>
      </c>
      <c r="D14" s="202">
        <v>2108</v>
      </c>
      <c r="E14" s="202">
        <v>2572</v>
      </c>
      <c r="F14" s="202">
        <v>979</v>
      </c>
      <c r="G14" s="202">
        <v>1719</v>
      </c>
      <c r="H14" s="202">
        <v>399</v>
      </c>
      <c r="I14" s="202"/>
      <c r="J14" s="602">
        <v>33361</v>
      </c>
    </row>
    <row r="15" spans="1:10" ht="15.95" customHeight="1">
      <c r="A15" s="795">
        <v>2004</v>
      </c>
      <c r="B15" s="796">
        <v>16137</v>
      </c>
      <c r="C15" s="796">
        <v>9471</v>
      </c>
      <c r="D15" s="796">
        <v>2298</v>
      </c>
      <c r="E15" s="796">
        <v>2600</v>
      </c>
      <c r="F15" s="796">
        <v>980</v>
      </c>
      <c r="G15" s="796">
        <v>1623</v>
      </c>
      <c r="H15" s="796">
        <v>442</v>
      </c>
      <c r="I15" s="796"/>
      <c r="J15" s="797">
        <v>33551</v>
      </c>
    </row>
    <row r="16" spans="1:10" ht="15.95" customHeight="1">
      <c r="A16" s="131">
        <v>2005</v>
      </c>
      <c r="B16" s="202">
        <v>16150</v>
      </c>
      <c r="C16" s="202">
        <v>8961</v>
      </c>
      <c r="D16" s="202">
        <v>2298</v>
      </c>
      <c r="E16" s="202">
        <v>2626</v>
      </c>
      <c r="F16" s="202">
        <v>1029</v>
      </c>
      <c r="G16" s="202">
        <v>1623</v>
      </c>
      <c r="H16" s="202">
        <v>525</v>
      </c>
      <c r="I16" s="202"/>
      <c r="J16" s="602">
        <v>33212</v>
      </c>
    </row>
    <row r="17" spans="1:10" ht="15.95" customHeight="1">
      <c r="A17" s="795">
        <v>2006</v>
      </c>
      <c r="B17" s="796">
        <v>16180</v>
      </c>
      <c r="C17" s="796">
        <v>8965</v>
      </c>
      <c r="D17" s="796">
        <v>2298</v>
      </c>
      <c r="E17" s="796">
        <v>2954</v>
      </c>
      <c r="F17" s="796">
        <v>1299</v>
      </c>
      <c r="G17" s="796">
        <v>1613</v>
      </c>
      <c r="H17" s="796">
        <v>580</v>
      </c>
      <c r="I17" s="796"/>
      <c r="J17" s="797">
        <v>33889</v>
      </c>
    </row>
    <row r="18" spans="1:10" ht="15.95" customHeight="1">
      <c r="A18" s="131">
        <v>2007</v>
      </c>
      <c r="B18" s="202">
        <v>16209</v>
      </c>
      <c r="C18" s="202">
        <v>9074</v>
      </c>
      <c r="D18" s="202">
        <v>2298</v>
      </c>
      <c r="E18" s="202">
        <v>2883</v>
      </c>
      <c r="F18" s="202">
        <v>1224</v>
      </c>
      <c r="G18" s="202">
        <v>1600</v>
      </c>
      <c r="H18" s="202">
        <v>780</v>
      </c>
      <c r="I18" s="202"/>
      <c r="J18" s="602">
        <v>34068</v>
      </c>
    </row>
    <row r="19" spans="1:10" ht="15.95" customHeight="1">
      <c r="A19" s="795">
        <v>2008</v>
      </c>
      <c r="B19" s="796">
        <v>16199</v>
      </c>
      <c r="C19" s="796">
        <v>8938</v>
      </c>
      <c r="D19" s="796">
        <v>2271</v>
      </c>
      <c r="E19" s="796">
        <v>2955</v>
      </c>
      <c r="F19" s="796">
        <v>1194</v>
      </c>
      <c r="G19" s="796">
        <v>1602</v>
      </c>
      <c r="H19" s="796">
        <v>1021</v>
      </c>
      <c r="I19" s="796"/>
      <c r="J19" s="797">
        <v>34180</v>
      </c>
    </row>
    <row r="20" spans="1:10" ht="15.95" customHeight="1">
      <c r="A20" s="131">
        <v>2009</v>
      </c>
      <c r="B20" s="202">
        <v>16203</v>
      </c>
      <c r="C20" s="202">
        <v>8938</v>
      </c>
      <c r="D20" s="202">
        <v>2271</v>
      </c>
      <c r="E20" s="202">
        <v>3531</v>
      </c>
      <c r="F20" s="202">
        <v>1199</v>
      </c>
      <c r="G20" s="202">
        <v>1603</v>
      </c>
      <c r="H20" s="202">
        <v>1560</v>
      </c>
      <c r="I20" s="202"/>
      <c r="J20" s="602">
        <v>35305</v>
      </c>
    </row>
    <row r="21" spans="1:10" ht="15.95" customHeight="1">
      <c r="A21" s="795">
        <v>2010</v>
      </c>
      <c r="B21" s="796">
        <v>16200</v>
      </c>
      <c r="C21" s="796">
        <v>9151</v>
      </c>
      <c r="D21" s="796">
        <v>1801</v>
      </c>
      <c r="E21" s="796">
        <v>3561</v>
      </c>
      <c r="F21" s="796">
        <v>1216</v>
      </c>
      <c r="G21" s="796">
        <v>1607</v>
      </c>
      <c r="H21" s="796">
        <v>2163</v>
      </c>
      <c r="I21" s="796"/>
      <c r="J21" s="797">
        <v>35699</v>
      </c>
    </row>
    <row r="22" spans="1:10" ht="15.95" customHeight="1">
      <c r="A22" s="131">
        <v>2011</v>
      </c>
      <c r="B22" s="202">
        <v>16197</v>
      </c>
      <c r="C22" s="202">
        <v>9363</v>
      </c>
      <c r="D22" s="202">
        <v>1623</v>
      </c>
      <c r="E22" s="202">
        <v>3551</v>
      </c>
      <c r="F22" s="202">
        <v>1240</v>
      </c>
      <c r="G22" s="202">
        <v>1574</v>
      </c>
      <c r="H22" s="202">
        <v>2899</v>
      </c>
      <c r="I22" s="202">
        <v>16</v>
      </c>
      <c r="J22" s="602">
        <v>36463</v>
      </c>
    </row>
    <row r="23" spans="1:10" ht="15.95" customHeight="1">
      <c r="A23" s="795">
        <v>2012</v>
      </c>
      <c r="B23" s="796">
        <v>16203</v>
      </c>
      <c r="C23" s="796">
        <v>9363</v>
      </c>
      <c r="D23" s="796">
        <v>1498</v>
      </c>
      <c r="E23" s="796">
        <v>3571</v>
      </c>
      <c r="F23" s="796">
        <v>1375</v>
      </c>
      <c r="G23" s="796">
        <v>1574</v>
      </c>
      <c r="H23" s="796">
        <v>3745</v>
      </c>
      <c r="I23" s="796">
        <v>24</v>
      </c>
      <c r="J23" s="797">
        <v>37353</v>
      </c>
    </row>
    <row r="24" spans="1:10" ht="15.95" customHeight="1">
      <c r="A24" s="131">
        <v>2013</v>
      </c>
      <c r="B24" s="202">
        <v>16150</v>
      </c>
      <c r="C24" s="202">
        <v>9531</v>
      </c>
      <c r="D24" s="202">
        <v>1498</v>
      </c>
      <c r="E24" s="202">
        <v>3631</v>
      </c>
      <c r="F24" s="202">
        <v>1375</v>
      </c>
      <c r="G24" s="202">
        <v>1575</v>
      </c>
      <c r="H24" s="202">
        <v>4470</v>
      </c>
      <c r="I24" s="202">
        <v>43</v>
      </c>
      <c r="J24" s="602">
        <v>38273</v>
      </c>
    </row>
    <row r="25" spans="1:10" ht="15.95" customHeight="1">
      <c r="A25" s="795">
        <v>2014</v>
      </c>
      <c r="B25" s="796">
        <v>16155</v>
      </c>
      <c r="C25" s="796">
        <v>9528</v>
      </c>
      <c r="D25" s="796">
        <v>1748</v>
      </c>
      <c r="E25" s="796">
        <v>3681</v>
      </c>
      <c r="F25" s="796">
        <v>1375</v>
      </c>
      <c r="G25" s="796">
        <v>1563</v>
      </c>
      <c r="H25" s="796">
        <v>5420</v>
      </c>
      <c r="I25" s="796">
        <v>79</v>
      </c>
      <c r="J25" s="797">
        <v>39549</v>
      </c>
    </row>
    <row r="26" spans="1:10" ht="15.95" customHeight="1">
      <c r="A26" s="131">
        <v>2015</v>
      </c>
      <c r="B26" s="202">
        <v>16184</v>
      </c>
      <c r="C26" s="202">
        <v>9076</v>
      </c>
      <c r="D26" s="202">
        <v>1413</v>
      </c>
      <c r="E26" s="202">
        <v>3525</v>
      </c>
      <c r="F26" s="202">
        <v>1376</v>
      </c>
      <c r="G26" s="202">
        <v>1606</v>
      </c>
      <c r="H26" s="202">
        <v>6029</v>
      </c>
      <c r="I26" s="202">
        <v>104</v>
      </c>
      <c r="J26" s="602">
        <v>39313</v>
      </c>
    </row>
    <row r="27" spans="1:10" ht="15.95" customHeight="1">
      <c r="A27" s="795">
        <v>2016</v>
      </c>
      <c r="B27" s="796">
        <v>16181</v>
      </c>
      <c r="C27" s="796">
        <v>9076</v>
      </c>
      <c r="D27" s="796">
        <v>1433</v>
      </c>
      <c r="E27" s="796">
        <v>3626</v>
      </c>
      <c r="F27" s="796">
        <v>1441</v>
      </c>
      <c r="G27" s="796">
        <v>1577</v>
      </c>
      <c r="H27" s="796">
        <v>6520</v>
      </c>
      <c r="I27" s="796">
        <v>175</v>
      </c>
      <c r="J27" s="797">
        <v>40029</v>
      </c>
    </row>
    <row r="28" spans="1:10" ht="15.95" customHeight="1"/>
    <row r="29" spans="1:10">
      <c r="A29" s="1" t="s">
        <v>944</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tabColor theme="0"/>
  </sheetPr>
  <dimension ref="A1:T374"/>
  <sheetViews>
    <sheetView showGridLines="0" zoomScaleNormal="100" workbookViewId="0">
      <pane ySplit="7" topLeftCell="A8" activePane="bottomLeft" state="frozen"/>
      <selection activeCell="G142" sqref="G142:J142"/>
      <selection pane="bottomLeft" activeCell="E1" sqref="E1"/>
    </sheetView>
  </sheetViews>
  <sheetFormatPr defaultColWidth="9.1328125" defaultRowHeight="13.15"/>
  <cols>
    <col min="1" max="1" width="8.265625" style="1" customWidth="1"/>
    <col min="2" max="2" width="5.73046875" style="1" bestFit="1" customWidth="1"/>
    <col min="3" max="3" width="8.3984375" style="1" bestFit="1" customWidth="1"/>
    <col min="4" max="4" width="7" style="1" bestFit="1" customWidth="1"/>
    <col min="5" max="5" width="8.73046875" style="1" bestFit="1" customWidth="1"/>
    <col min="6" max="6" width="7.1328125" style="1" bestFit="1" customWidth="1"/>
    <col min="7" max="7" width="8.3984375" style="1" bestFit="1" customWidth="1"/>
    <col min="8" max="8" width="6.73046875" style="1" bestFit="1" customWidth="1"/>
    <col min="9" max="9" width="2.265625" style="1" bestFit="1" customWidth="1"/>
    <col min="10" max="10" width="17.3984375" style="1" bestFit="1" customWidth="1"/>
    <col min="11" max="11" width="5.73046875" style="1" bestFit="1" customWidth="1"/>
    <col min="12" max="12" width="8.3984375" style="1" bestFit="1" customWidth="1"/>
    <col min="13" max="13" width="7" style="1" bestFit="1" customWidth="1"/>
    <col min="14" max="14" width="8.73046875" style="1" bestFit="1" customWidth="1"/>
    <col min="15" max="15" width="7.1328125" style="1" bestFit="1" customWidth="1"/>
    <col min="16" max="16" width="8.3984375" style="1" bestFit="1" customWidth="1"/>
    <col min="17" max="17" width="6.73046875" style="1" bestFit="1" customWidth="1"/>
    <col min="18" max="16384" width="9.1328125" style="1"/>
  </cols>
  <sheetData>
    <row r="1" spans="1:19" ht="15.95" customHeight="1">
      <c r="A1" s="524" t="str">
        <f>IF(språk=lista[[#Headers],[Svenska]],"Innehåll",IF(språk=lista[[#Headers],[English]],"Contents","FEL"))</f>
        <v>Contents</v>
      </c>
    </row>
    <row r="2" spans="1:19" ht="15.95" customHeight="1"/>
    <row r="3" spans="1:19" ht="15.95" customHeight="1">
      <c r="A3" s="421" t="str">
        <f>IFERROR(INDEX(lista[],MATCH($A5,lista[ID],0),MATCH(språk,lista[#Headers],0)),"")</f>
        <v>Electricity trade with other countries, from 2010, GWh/week</v>
      </c>
      <c r="B3" s="264"/>
      <c r="C3" s="264"/>
      <c r="D3" s="264"/>
      <c r="E3" s="264"/>
      <c r="F3" s="264"/>
      <c r="G3" s="264"/>
      <c r="H3" s="264"/>
      <c r="I3" s="264"/>
      <c r="J3" s="314"/>
      <c r="N3" s="264"/>
    </row>
    <row r="4" spans="1:19" s="272" customFormat="1" ht="15.95" customHeight="1">
      <c r="B4" s="512"/>
      <c r="C4" s="512"/>
      <c r="D4" s="512"/>
      <c r="E4" s="512"/>
      <c r="F4" s="512"/>
      <c r="G4" s="512"/>
      <c r="H4" s="512"/>
      <c r="I4" s="512"/>
      <c r="J4" s="512"/>
      <c r="K4" s="512"/>
      <c r="L4" s="512"/>
      <c r="M4" s="512"/>
      <c r="N4" s="512"/>
      <c r="O4" s="512"/>
      <c r="P4" s="512"/>
      <c r="Q4" s="512"/>
      <c r="R4" s="512"/>
    </row>
    <row r="5" spans="1:19" s="130" customFormat="1" ht="15.95" hidden="1" customHeight="1">
      <c r="A5" s="130">
        <v>41</v>
      </c>
      <c r="B5" s="973" t="s">
        <v>647</v>
      </c>
      <c r="C5" s="973" t="s">
        <v>648</v>
      </c>
      <c r="D5" s="973" t="s">
        <v>649</v>
      </c>
      <c r="E5" s="973" t="s">
        <v>650</v>
      </c>
      <c r="F5" s="973" t="s">
        <v>651</v>
      </c>
      <c r="G5" s="973" t="s">
        <v>652</v>
      </c>
      <c r="H5" s="973" t="s">
        <v>653</v>
      </c>
      <c r="I5" s="973" t="s">
        <v>654</v>
      </c>
      <c r="J5" s="973" t="s">
        <v>655</v>
      </c>
      <c r="K5" s="973" t="s">
        <v>656</v>
      </c>
      <c r="L5" s="973"/>
      <c r="M5" s="973"/>
      <c r="N5" s="973"/>
      <c r="O5" s="973"/>
      <c r="P5" s="973"/>
      <c r="Q5" s="973"/>
      <c r="R5" s="973"/>
      <c r="S5" s="973"/>
    </row>
    <row r="6" spans="1:19" ht="15.95" customHeight="1">
      <c r="A6" s="513" t="str">
        <f>IFERROR(INDEX(_6.7[],MATCH(språk,_6.7[[id]:[id]],0),MATCH(J$5,_6.7[#Headers],0)),"")</f>
        <v>Import to Sweden</v>
      </c>
      <c r="B6" s="514"/>
      <c r="C6" s="514"/>
      <c r="D6" s="514"/>
      <c r="E6" s="514"/>
      <c r="F6" s="514"/>
      <c r="G6" s="514"/>
      <c r="H6" s="514"/>
      <c r="I6" s="515"/>
      <c r="J6" s="513" t="str">
        <f>IFERROR(INDEX(_6.7[],MATCH(språk,_6.7[[id]:[id]],0),MATCH(K$5,_6.7[#Headers],0)),"")</f>
        <v>Export from Sweden</v>
      </c>
      <c r="K6" s="516"/>
      <c r="L6" s="516"/>
      <c r="M6" s="516"/>
      <c r="N6" s="514"/>
      <c r="O6" s="516"/>
      <c r="P6" s="516"/>
      <c r="Q6" s="516"/>
    </row>
    <row r="7" spans="1:19" ht="15.95" customHeight="1">
      <c r="A7" s="517" t="str">
        <f>IFERROR(INDEX(_6.7[],MATCH(språk,_6.7[[id]:[id]],0),MATCH(B$5,_6.7[#Headers],0)),"")</f>
        <v>Year</v>
      </c>
      <c r="B7" s="517" t="str">
        <f>IFERROR(INDEX(_6.7[],MATCH(språk,_6.7[[id]:[id]],0),MATCH(C$5,_6.7[#Headers],0)),"")</f>
        <v>Week</v>
      </c>
      <c r="C7" s="1005" t="str">
        <f>IFERROR(INDEX(_6.7[],MATCH(språk,_6.7[[id]:[id]],0),MATCH(D$5,_6.7[#Headers],0)),"")</f>
        <v>Denmark</v>
      </c>
      <c r="D7" s="1005" t="str">
        <f>IFERROR(INDEX(_6.7[],MATCH(språk,_6.7[[id]:[id]],0),MATCH(E$5,_6.7[#Headers],0)),"")</f>
        <v>Finland</v>
      </c>
      <c r="E7" s="1005" t="str">
        <f>IFERROR(INDEX(_6.7[],MATCH(språk,_6.7[[id]:[id]],0),MATCH(F$5,_6.7[#Headers],0)),"")</f>
        <v>Lithuania</v>
      </c>
      <c r="F7" s="1005" t="str">
        <f>IFERROR(INDEX(_6.7[],MATCH(språk,_6.7[[id]:[id]],0),MATCH(G$5,_6.7[#Headers],0)),"")</f>
        <v>Norway</v>
      </c>
      <c r="G7" s="1005" t="str">
        <f>IFERROR(INDEX(_6.7[],MATCH(språk,_6.7[[id]:[id]],0),MATCH(H$5,_6.7[#Headers],0)),"")</f>
        <v>Germany</v>
      </c>
      <c r="H7" s="1005" t="str">
        <f>IFERROR(INDEX(_6.7[],MATCH(språk,_6.7[[id]:[id]],0),MATCH(I$5,_6.7[#Headers],0)),"")</f>
        <v>Poland</v>
      </c>
      <c r="I7" s="518"/>
      <c r="J7" s="517" t="str">
        <f>IFERROR(INDEX(_6.7[],MATCH(språk,_6.7[[id]:[id]],0),MATCH(B$5,_6.7[#Headers],0)),"")</f>
        <v>Year</v>
      </c>
      <c r="K7" s="517" t="str">
        <f>IFERROR(INDEX(_6.7[],MATCH(språk,_6.7[[id]:[id]],0),MATCH(C$5,_6.7[#Headers],0)),"")</f>
        <v>Week</v>
      </c>
      <c r="L7" s="1005" t="str">
        <f>IFERROR(INDEX(_6.7[],MATCH(språk,_6.7[[id]:[id]],0),MATCH(D$5,_6.7[#Headers],0)),"")</f>
        <v>Denmark</v>
      </c>
      <c r="M7" s="1005" t="str">
        <f>IFERROR(INDEX(_6.7[],MATCH(språk,_6.7[[id]:[id]],0),MATCH(E$5,_6.7[#Headers],0)),"")</f>
        <v>Finland</v>
      </c>
      <c r="N7" s="1005" t="str">
        <f>IFERROR(INDEX(_6.7[],MATCH(språk,_6.7[[id]:[id]],0),MATCH(F$5,_6.7[#Headers],0)),"")</f>
        <v>Lithuania</v>
      </c>
      <c r="O7" s="1005" t="str">
        <f>IFERROR(INDEX(_6.7[],MATCH(språk,_6.7[[id]:[id]],0),MATCH(G$5,_6.7[#Headers],0)),"")</f>
        <v>Norway</v>
      </c>
      <c r="P7" s="1005" t="str">
        <f>IFERROR(INDEX(_6.7[],MATCH(språk,_6.7[[id]:[id]],0),MATCH(H$5,_6.7[#Headers],0)),"")</f>
        <v>Germany</v>
      </c>
      <c r="Q7" s="1005" t="str">
        <f>IFERROR(INDEX(_6.7[],MATCH(språk,_6.7[[id]:[id]],0),MATCH(I$5,_6.7[#Headers],0)),"")</f>
        <v>Poland</v>
      </c>
    </row>
    <row r="8" spans="1:19" ht="15.95" customHeight="1">
      <c r="A8" s="877">
        <v>2010</v>
      </c>
      <c r="B8" s="878">
        <v>1</v>
      </c>
      <c r="C8" s="879">
        <v>205.24299999999999</v>
      </c>
      <c r="D8" s="879">
        <v>111.679</v>
      </c>
      <c r="E8" s="879"/>
      <c r="F8" s="879">
        <v>92.926000000000002</v>
      </c>
      <c r="G8" s="879">
        <v>66.808999999999997</v>
      </c>
      <c r="H8" s="879">
        <v>18.224</v>
      </c>
      <c r="I8" s="880"/>
      <c r="J8" s="877">
        <v>2010</v>
      </c>
      <c r="K8" s="881">
        <v>1</v>
      </c>
      <c r="L8" s="882">
        <v>-1.5649999999999999</v>
      </c>
      <c r="M8" s="882">
        <v>-75.286000000000001</v>
      </c>
      <c r="N8" s="879"/>
      <c r="O8" s="882">
        <v>-56.924999999999997</v>
      </c>
      <c r="P8" s="882">
        <v>0</v>
      </c>
      <c r="Q8" s="882">
        <v>-1.7090000000000001</v>
      </c>
    </row>
    <row r="9" spans="1:19" ht="15.95" customHeight="1">
      <c r="A9" s="513"/>
      <c r="B9" s="519">
        <v>2</v>
      </c>
      <c r="C9" s="686">
        <v>201.78200000000001</v>
      </c>
      <c r="D9" s="686">
        <v>160.631</v>
      </c>
      <c r="E9" s="686"/>
      <c r="F9" s="686">
        <v>80.697999999999993</v>
      </c>
      <c r="G9" s="686">
        <v>71.713999999999999</v>
      </c>
      <c r="H9" s="686">
        <v>17.084</v>
      </c>
      <c r="I9" s="520"/>
      <c r="J9" s="519"/>
      <c r="K9" s="521">
        <v>2</v>
      </c>
      <c r="L9" s="685">
        <v>-9.7000000000000003E-2</v>
      </c>
      <c r="M9" s="685">
        <v>-30.632000000000001</v>
      </c>
      <c r="N9" s="686"/>
      <c r="O9" s="685">
        <v>-128.78200000000001</v>
      </c>
      <c r="P9" s="685">
        <v>-1E-3</v>
      </c>
      <c r="Q9" s="685">
        <v>-3.0680000000000001</v>
      </c>
    </row>
    <row r="10" spans="1:19" ht="15.95" customHeight="1">
      <c r="A10" s="877"/>
      <c r="B10" s="878">
        <v>3</v>
      </c>
      <c r="C10" s="879">
        <v>113.158</v>
      </c>
      <c r="D10" s="879">
        <v>95.334000000000003</v>
      </c>
      <c r="E10" s="879"/>
      <c r="F10" s="879">
        <v>140.113</v>
      </c>
      <c r="G10" s="879">
        <v>75.194000000000003</v>
      </c>
      <c r="H10" s="879">
        <v>17.824999999999999</v>
      </c>
      <c r="I10" s="880"/>
      <c r="J10" s="878"/>
      <c r="K10" s="881">
        <v>3</v>
      </c>
      <c r="L10" s="882">
        <v>-8.4640000000000004</v>
      </c>
      <c r="M10" s="882">
        <v>-96.757000000000005</v>
      </c>
      <c r="N10" s="879"/>
      <c r="O10" s="882">
        <v>-66.459999999999994</v>
      </c>
      <c r="P10" s="882">
        <v>-1E-3</v>
      </c>
      <c r="Q10" s="882">
        <v>-6.6890000000000001</v>
      </c>
    </row>
    <row r="11" spans="1:19" ht="15.95" customHeight="1">
      <c r="A11" s="513"/>
      <c r="B11" s="519">
        <v>4</v>
      </c>
      <c r="C11" s="686">
        <v>131.512</v>
      </c>
      <c r="D11" s="686">
        <v>103.23699999999999</v>
      </c>
      <c r="E11" s="686"/>
      <c r="F11" s="686">
        <v>199.429</v>
      </c>
      <c r="G11" s="686">
        <v>79.176000000000002</v>
      </c>
      <c r="H11" s="686">
        <v>12.504</v>
      </c>
      <c r="I11" s="520"/>
      <c r="J11" s="519"/>
      <c r="K11" s="521">
        <v>4</v>
      </c>
      <c r="L11" s="685">
        <v>-3.3620000000000001</v>
      </c>
      <c r="M11" s="685">
        <v>-93.653000000000006</v>
      </c>
      <c r="N11" s="686"/>
      <c r="O11" s="685">
        <v>-31.448</v>
      </c>
      <c r="P11" s="685">
        <v>0</v>
      </c>
      <c r="Q11" s="685">
        <v>-7.5259999999999998</v>
      </c>
    </row>
    <row r="12" spans="1:19" ht="15.95" customHeight="1">
      <c r="A12" s="877"/>
      <c r="B12" s="878">
        <v>5</v>
      </c>
      <c r="C12" s="879">
        <v>177.874</v>
      </c>
      <c r="D12" s="879">
        <v>172.74600000000001</v>
      </c>
      <c r="E12" s="879"/>
      <c r="F12" s="879">
        <v>51.284999999999997</v>
      </c>
      <c r="G12" s="879">
        <v>89.903000000000006</v>
      </c>
      <c r="H12" s="879">
        <v>17.806000000000001</v>
      </c>
      <c r="I12" s="880"/>
      <c r="J12" s="878"/>
      <c r="K12" s="881">
        <v>5</v>
      </c>
      <c r="L12" s="882">
        <v>-4.0000000000000001E-3</v>
      </c>
      <c r="M12" s="882">
        <v>-25.257999999999999</v>
      </c>
      <c r="N12" s="879"/>
      <c r="O12" s="882">
        <v>-133.386</v>
      </c>
      <c r="P12" s="882">
        <v>0</v>
      </c>
      <c r="Q12" s="882">
        <v>0</v>
      </c>
    </row>
    <row r="13" spans="1:19" ht="15.95" customHeight="1">
      <c r="A13" s="513"/>
      <c r="B13" s="519">
        <v>6</v>
      </c>
      <c r="C13" s="686">
        <v>156.94800000000001</v>
      </c>
      <c r="D13" s="686">
        <v>153.10599999999999</v>
      </c>
      <c r="E13" s="686"/>
      <c r="F13" s="686">
        <v>107.035</v>
      </c>
      <c r="G13" s="686">
        <v>90.912000000000006</v>
      </c>
      <c r="H13" s="686">
        <v>23.99</v>
      </c>
      <c r="I13" s="520"/>
      <c r="J13" s="519"/>
      <c r="K13" s="521">
        <v>6</v>
      </c>
      <c r="L13" s="685">
        <v>-2.5059999999999998</v>
      </c>
      <c r="M13" s="685">
        <v>-33.667000000000002</v>
      </c>
      <c r="N13" s="686"/>
      <c r="O13" s="685">
        <v>-77.135000000000005</v>
      </c>
      <c r="P13" s="685">
        <v>0</v>
      </c>
      <c r="Q13" s="685">
        <v>0</v>
      </c>
    </row>
    <row r="14" spans="1:19" ht="15.95" customHeight="1">
      <c r="A14" s="877"/>
      <c r="B14" s="878">
        <v>7</v>
      </c>
      <c r="C14" s="879">
        <v>203.39500000000001</v>
      </c>
      <c r="D14" s="879">
        <v>80.924000000000007</v>
      </c>
      <c r="E14" s="879"/>
      <c r="F14" s="879">
        <v>140.999</v>
      </c>
      <c r="G14" s="879">
        <v>96.316000000000003</v>
      </c>
      <c r="H14" s="879">
        <v>25.134</v>
      </c>
      <c r="I14" s="880"/>
      <c r="J14" s="878"/>
      <c r="K14" s="881">
        <v>7</v>
      </c>
      <c r="L14" s="882">
        <v>-3.1179999999999999</v>
      </c>
      <c r="M14" s="882">
        <v>-79.869</v>
      </c>
      <c r="N14" s="879"/>
      <c r="O14" s="882">
        <v>-62.496000000000002</v>
      </c>
      <c r="P14" s="882">
        <v>0</v>
      </c>
      <c r="Q14" s="882">
        <v>0</v>
      </c>
    </row>
    <row r="15" spans="1:19" ht="15.95" customHeight="1">
      <c r="A15" s="513"/>
      <c r="B15" s="519">
        <v>8</v>
      </c>
      <c r="C15" s="686">
        <v>251.91</v>
      </c>
      <c r="D15" s="686">
        <v>149.47399999999999</v>
      </c>
      <c r="E15" s="686"/>
      <c r="F15" s="686">
        <v>62.781999999999996</v>
      </c>
      <c r="G15" s="686">
        <v>88.340999999999994</v>
      </c>
      <c r="H15" s="686">
        <v>21.904</v>
      </c>
      <c r="I15" s="520"/>
      <c r="J15" s="519"/>
      <c r="K15" s="521">
        <v>8</v>
      </c>
      <c r="L15" s="685">
        <v>-2.327</v>
      </c>
      <c r="M15" s="685">
        <v>-37.139000000000003</v>
      </c>
      <c r="N15" s="686"/>
      <c r="O15" s="685">
        <v>-145.55500000000001</v>
      </c>
      <c r="P15" s="685">
        <v>0</v>
      </c>
      <c r="Q15" s="685">
        <v>0</v>
      </c>
    </row>
    <row r="16" spans="1:19" ht="15.95" customHeight="1">
      <c r="A16" s="877"/>
      <c r="B16" s="878">
        <v>9</v>
      </c>
      <c r="C16" s="879">
        <v>233.03800000000001</v>
      </c>
      <c r="D16" s="879">
        <v>218.12100000000001</v>
      </c>
      <c r="E16" s="879"/>
      <c r="F16" s="879">
        <v>44.003999999999998</v>
      </c>
      <c r="G16" s="879">
        <v>84.411000000000001</v>
      </c>
      <c r="H16" s="879">
        <v>23.977</v>
      </c>
      <c r="I16" s="880"/>
      <c r="J16" s="878"/>
      <c r="K16" s="881">
        <v>9</v>
      </c>
      <c r="L16" s="882">
        <v>-2.3319999999999999</v>
      </c>
      <c r="M16" s="882">
        <v>-4.45</v>
      </c>
      <c r="N16" s="879"/>
      <c r="O16" s="882">
        <v>-170.81700000000001</v>
      </c>
      <c r="P16" s="882">
        <v>-2E-3</v>
      </c>
      <c r="Q16" s="882">
        <v>0</v>
      </c>
    </row>
    <row r="17" spans="1:17" ht="15.95" customHeight="1">
      <c r="A17" s="513"/>
      <c r="B17" s="519">
        <v>10</v>
      </c>
      <c r="C17" s="686">
        <v>197.36500000000001</v>
      </c>
      <c r="D17" s="686">
        <v>228.50299999999999</v>
      </c>
      <c r="E17" s="686"/>
      <c r="F17" s="686">
        <v>54.457999999999998</v>
      </c>
      <c r="G17" s="686">
        <v>75.018000000000001</v>
      </c>
      <c r="H17" s="686">
        <v>22.65</v>
      </c>
      <c r="I17" s="520"/>
      <c r="J17" s="519"/>
      <c r="K17" s="521">
        <v>10</v>
      </c>
      <c r="L17" s="685">
        <v>-3.702</v>
      </c>
      <c r="M17" s="685">
        <v>-3.9510000000000001</v>
      </c>
      <c r="N17" s="686"/>
      <c r="O17" s="685">
        <v>-151.773</v>
      </c>
      <c r="P17" s="685">
        <v>0</v>
      </c>
      <c r="Q17" s="685">
        <v>0</v>
      </c>
    </row>
    <row r="18" spans="1:17" ht="15.95" customHeight="1">
      <c r="A18" s="877"/>
      <c r="B18" s="878">
        <v>11</v>
      </c>
      <c r="C18" s="879">
        <v>178.70099999999999</v>
      </c>
      <c r="D18" s="879">
        <v>229.779</v>
      </c>
      <c r="E18" s="879"/>
      <c r="F18" s="879">
        <v>26.914000000000001</v>
      </c>
      <c r="G18" s="879">
        <v>72.509</v>
      </c>
      <c r="H18" s="879">
        <v>12.726000000000001</v>
      </c>
      <c r="I18" s="880"/>
      <c r="J18" s="878"/>
      <c r="K18" s="881">
        <v>11</v>
      </c>
      <c r="L18" s="882">
        <v>-2.6120000000000001</v>
      </c>
      <c r="M18" s="882">
        <v>-4.9649999999999999</v>
      </c>
      <c r="N18" s="879"/>
      <c r="O18" s="882">
        <v>-206.08500000000001</v>
      </c>
      <c r="P18" s="882">
        <v>0</v>
      </c>
      <c r="Q18" s="882">
        <v>-6.085</v>
      </c>
    </row>
    <row r="19" spans="1:17" ht="15.95" customHeight="1">
      <c r="A19" s="513"/>
      <c r="B19" s="519">
        <v>12</v>
      </c>
      <c r="C19" s="686">
        <v>130.018</v>
      </c>
      <c r="D19" s="686">
        <v>193.65700000000001</v>
      </c>
      <c r="E19" s="686"/>
      <c r="F19" s="686">
        <v>9.5579999999999998</v>
      </c>
      <c r="G19" s="686">
        <v>40.869999999999997</v>
      </c>
      <c r="H19" s="686">
        <v>10.526</v>
      </c>
      <c r="I19" s="520"/>
      <c r="J19" s="519"/>
      <c r="K19" s="521">
        <v>12</v>
      </c>
      <c r="L19" s="685">
        <v>-4.056</v>
      </c>
      <c r="M19" s="685">
        <v>-5.4779999999999998</v>
      </c>
      <c r="N19" s="686"/>
      <c r="O19" s="685">
        <v>-169.26499999999999</v>
      </c>
      <c r="P19" s="685">
        <v>0</v>
      </c>
      <c r="Q19" s="685">
        <v>-12.75</v>
      </c>
    </row>
    <row r="20" spans="1:17" ht="15.95" customHeight="1">
      <c r="A20" s="877"/>
      <c r="B20" s="878">
        <v>13</v>
      </c>
      <c r="C20" s="879">
        <v>123.503</v>
      </c>
      <c r="D20" s="879">
        <v>217.226</v>
      </c>
      <c r="E20" s="879"/>
      <c r="F20" s="879">
        <v>19.148</v>
      </c>
      <c r="G20" s="879">
        <v>28.943000000000001</v>
      </c>
      <c r="H20" s="879">
        <v>6.11</v>
      </c>
      <c r="I20" s="880"/>
      <c r="J20" s="878"/>
      <c r="K20" s="881">
        <v>13</v>
      </c>
      <c r="L20" s="882">
        <v>-7.1420000000000003</v>
      </c>
      <c r="M20" s="882">
        <v>-4.8760000000000003</v>
      </c>
      <c r="N20" s="879"/>
      <c r="O20" s="882">
        <v>-189.40100000000001</v>
      </c>
      <c r="P20" s="882">
        <v>-0.41199999999999998</v>
      </c>
      <c r="Q20" s="882">
        <v>-22.597000000000001</v>
      </c>
    </row>
    <row r="21" spans="1:17" ht="15.95" customHeight="1">
      <c r="A21" s="513"/>
      <c r="B21" s="519">
        <v>14</v>
      </c>
      <c r="C21" s="686">
        <v>92.216999999999999</v>
      </c>
      <c r="D21" s="686">
        <v>199.376</v>
      </c>
      <c r="E21" s="686"/>
      <c r="F21" s="686">
        <v>32.540999999999997</v>
      </c>
      <c r="G21" s="686">
        <v>19.103000000000002</v>
      </c>
      <c r="H21" s="686">
        <v>5.391</v>
      </c>
      <c r="I21" s="520"/>
      <c r="J21" s="519"/>
      <c r="K21" s="521">
        <v>14</v>
      </c>
      <c r="L21" s="685">
        <v>-19.568999999999999</v>
      </c>
      <c r="M21" s="685">
        <v>-14.31</v>
      </c>
      <c r="N21" s="686"/>
      <c r="O21" s="685">
        <v>-168.57599999999999</v>
      </c>
      <c r="P21" s="685">
        <v>-5.851</v>
      </c>
      <c r="Q21" s="685">
        <v>-11.725</v>
      </c>
    </row>
    <row r="22" spans="1:17" ht="15.95" customHeight="1">
      <c r="A22" s="877"/>
      <c r="B22" s="878">
        <v>15</v>
      </c>
      <c r="C22" s="879">
        <v>46.78</v>
      </c>
      <c r="D22" s="879">
        <v>216.69900000000001</v>
      </c>
      <c r="E22" s="879"/>
      <c r="F22" s="879">
        <v>39.533000000000001</v>
      </c>
      <c r="G22" s="879">
        <v>18.042000000000002</v>
      </c>
      <c r="H22" s="879">
        <v>3.0880000000000001</v>
      </c>
      <c r="I22" s="880"/>
      <c r="J22" s="878"/>
      <c r="K22" s="881">
        <v>15</v>
      </c>
      <c r="L22" s="882">
        <v>-57.78</v>
      </c>
      <c r="M22" s="882">
        <v>-4.3029999999999999</v>
      </c>
      <c r="N22" s="879"/>
      <c r="O22" s="882">
        <v>-246.77699999999999</v>
      </c>
      <c r="P22" s="882">
        <v>-16.303999999999998</v>
      </c>
      <c r="Q22" s="882">
        <v>-18.463999999999999</v>
      </c>
    </row>
    <row r="23" spans="1:17" ht="15.95" customHeight="1">
      <c r="A23" s="98"/>
      <c r="B23" s="523">
        <v>16</v>
      </c>
      <c r="C23" s="687">
        <v>61.081000000000003</v>
      </c>
      <c r="D23" s="687">
        <v>194.84399999999999</v>
      </c>
      <c r="E23" s="687"/>
      <c r="F23" s="687">
        <v>2.762</v>
      </c>
      <c r="G23" s="687">
        <v>20.346</v>
      </c>
      <c r="H23" s="687">
        <v>0.77400000000000002</v>
      </c>
      <c r="I23" s="98"/>
      <c r="J23" s="523"/>
      <c r="K23" s="521">
        <v>16</v>
      </c>
      <c r="L23" s="685">
        <v>-19.667999999999999</v>
      </c>
      <c r="M23" s="685">
        <v>-4.6890000000000001</v>
      </c>
      <c r="N23" s="687"/>
      <c r="O23" s="685">
        <v>-350.31</v>
      </c>
      <c r="P23" s="685">
        <v>-7.0709999999999997</v>
      </c>
      <c r="Q23" s="685">
        <v>-14.079000000000001</v>
      </c>
    </row>
    <row r="24" spans="1:17" ht="15.95" customHeight="1">
      <c r="A24" s="883"/>
      <c r="B24" s="870">
        <v>17</v>
      </c>
      <c r="C24" s="884">
        <v>32.283000000000001</v>
      </c>
      <c r="D24" s="884">
        <v>159.29400000000001</v>
      </c>
      <c r="E24" s="884"/>
      <c r="F24" s="884">
        <v>1.3029999999999999</v>
      </c>
      <c r="G24" s="884">
        <v>12.654</v>
      </c>
      <c r="H24" s="884">
        <v>0.57399999999999995</v>
      </c>
      <c r="I24" s="883"/>
      <c r="J24" s="870"/>
      <c r="K24" s="881">
        <v>17</v>
      </c>
      <c r="L24" s="882">
        <v>-46.972000000000001</v>
      </c>
      <c r="M24" s="882">
        <v>-6.9550000000000001</v>
      </c>
      <c r="N24" s="884"/>
      <c r="O24" s="882">
        <v>-339.46699999999998</v>
      </c>
      <c r="P24" s="882">
        <v>-0.89</v>
      </c>
      <c r="Q24" s="882">
        <v>-48.137</v>
      </c>
    </row>
    <row r="25" spans="1:17" ht="15.95" customHeight="1">
      <c r="B25" s="521">
        <v>18</v>
      </c>
      <c r="C25" s="685">
        <v>17.207000000000001</v>
      </c>
      <c r="D25" s="685">
        <v>145.25200000000001</v>
      </c>
      <c r="E25" s="685"/>
      <c r="F25" s="685">
        <v>2.9860000000000002</v>
      </c>
      <c r="G25" s="685">
        <v>11.842000000000001</v>
      </c>
      <c r="H25" s="685">
        <v>3.839</v>
      </c>
      <c r="J25" s="521"/>
      <c r="K25" s="521">
        <v>18</v>
      </c>
      <c r="L25" s="685">
        <v>-76.747</v>
      </c>
      <c r="M25" s="685">
        <v>-10.821</v>
      </c>
      <c r="N25" s="685"/>
      <c r="O25" s="685">
        <v>-303.65499999999997</v>
      </c>
      <c r="P25" s="685">
        <v>-6.1980000000000004</v>
      </c>
      <c r="Q25" s="685">
        <v>-15.278</v>
      </c>
    </row>
    <row r="26" spans="1:17" ht="15.95" customHeight="1">
      <c r="A26" s="885"/>
      <c r="B26" s="881">
        <v>19</v>
      </c>
      <c r="C26" s="882">
        <v>10.611000000000001</v>
      </c>
      <c r="D26" s="882">
        <v>132.25200000000001</v>
      </c>
      <c r="E26" s="882"/>
      <c r="F26" s="882">
        <v>8.1479999999999997</v>
      </c>
      <c r="G26" s="882">
        <v>3.6880000000000002</v>
      </c>
      <c r="H26" s="882">
        <v>1.577</v>
      </c>
      <c r="I26" s="885"/>
      <c r="J26" s="881"/>
      <c r="K26" s="881">
        <v>19</v>
      </c>
      <c r="L26" s="882">
        <v>-104.61499999999999</v>
      </c>
      <c r="M26" s="882">
        <v>-20.888999999999999</v>
      </c>
      <c r="N26" s="882"/>
      <c r="O26" s="882">
        <v>-291.65199999999999</v>
      </c>
      <c r="P26" s="882">
        <v>-66.173000000000002</v>
      </c>
      <c r="Q26" s="882">
        <v>-52.783999999999999</v>
      </c>
    </row>
    <row r="27" spans="1:17" ht="15.95" customHeight="1">
      <c r="B27" s="521">
        <v>20</v>
      </c>
      <c r="C27" s="685">
        <v>2.9260000000000002</v>
      </c>
      <c r="D27" s="685">
        <v>18.988</v>
      </c>
      <c r="E27" s="685"/>
      <c r="F27" s="685">
        <v>6.6859999999999999</v>
      </c>
      <c r="G27" s="685">
        <v>0</v>
      </c>
      <c r="H27" s="685">
        <v>0</v>
      </c>
      <c r="J27" s="521"/>
      <c r="K27" s="521">
        <v>20</v>
      </c>
      <c r="L27" s="685">
        <v>-204.71899999999999</v>
      </c>
      <c r="M27" s="685">
        <v>-99.444999999999993</v>
      </c>
      <c r="N27" s="685"/>
      <c r="O27" s="685">
        <v>-325.03399999999999</v>
      </c>
      <c r="P27" s="685">
        <v>-94.573999999999998</v>
      </c>
      <c r="Q27" s="685">
        <v>-72.882000000000005</v>
      </c>
    </row>
    <row r="28" spans="1:17" ht="15.95" customHeight="1">
      <c r="A28" s="885"/>
      <c r="B28" s="881">
        <v>21</v>
      </c>
      <c r="C28" s="882">
        <v>6.6289999999999996</v>
      </c>
      <c r="D28" s="882">
        <v>57.779000000000003</v>
      </c>
      <c r="E28" s="882"/>
      <c r="F28" s="882">
        <v>12.679</v>
      </c>
      <c r="G28" s="882">
        <v>7.4939999999999998</v>
      </c>
      <c r="H28" s="882">
        <v>0</v>
      </c>
      <c r="I28" s="885"/>
      <c r="J28" s="881"/>
      <c r="K28" s="881">
        <v>21</v>
      </c>
      <c r="L28" s="882">
        <v>-127.79</v>
      </c>
      <c r="M28" s="882">
        <v>-59.710999999999999</v>
      </c>
      <c r="N28" s="882"/>
      <c r="O28" s="882">
        <v>-367.72399999999999</v>
      </c>
      <c r="P28" s="882">
        <v>-59.465000000000003</v>
      </c>
      <c r="Q28" s="882">
        <v>-66.001000000000005</v>
      </c>
    </row>
    <row r="29" spans="1:17" ht="15.95" customHeight="1">
      <c r="B29" s="521">
        <v>22</v>
      </c>
      <c r="C29" s="685">
        <v>1.8260000000000001</v>
      </c>
      <c r="D29" s="685">
        <v>47.25</v>
      </c>
      <c r="E29" s="685"/>
      <c r="F29" s="685">
        <v>13.609</v>
      </c>
      <c r="G29" s="685">
        <v>4.8929999999999998</v>
      </c>
      <c r="H29" s="685">
        <v>0</v>
      </c>
      <c r="J29" s="521"/>
      <c r="K29" s="521">
        <v>22</v>
      </c>
      <c r="L29" s="685">
        <v>-176.50899999999999</v>
      </c>
      <c r="M29" s="685">
        <v>-76.616</v>
      </c>
      <c r="N29" s="685"/>
      <c r="O29" s="685">
        <v>-329.959</v>
      </c>
      <c r="P29" s="685">
        <v>-56.328000000000003</v>
      </c>
      <c r="Q29" s="685">
        <v>-44.558999999999997</v>
      </c>
    </row>
    <row r="30" spans="1:17" ht="15.95" customHeight="1">
      <c r="A30" s="885"/>
      <c r="B30" s="881">
        <v>23</v>
      </c>
      <c r="C30" s="882">
        <v>15.092000000000001</v>
      </c>
      <c r="D30" s="882">
        <v>42.970999999999997</v>
      </c>
      <c r="E30" s="882"/>
      <c r="F30" s="882">
        <v>15.196999999999999</v>
      </c>
      <c r="G30" s="882">
        <v>17.372</v>
      </c>
      <c r="H30" s="882">
        <v>0</v>
      </c>
      <c r="I30" s="885"/>
      <c r="J30" s="881"/>
      <c r="K30" s="881">
        <v>23</v>
      </c>
      <c r="L30" s="882">
        <v>-129.53100000000001</v>
      </c>
      <c r="M30" s="882">
        <v>-78.861999999999995</v>
      </c>
      <c r="N30" s="882"/>
      <c r="O30" s="882">
        <v>-283.96899999999999</v>
      </c>
      <c r="P30" s="882">
        <v>-47.728999999999999</v>
      </c>
      <c r="Q30" s="882">
        <v>-0.17499999999999999</v>
      </c>
    </row>
    <row r="31" spans="1:17" ht="15.95" customHeight="1">
      <c r="B31" s="521">
        <v>24</v>
      </c>
      <c r="C31" s="685">
        <v>21.721</v>
      </c>
      <c r="D31" s="685">
        <v>69.742999999999995</v>
      </c>
      <c r="E31" s="685"/>
      <c r="F31" s="685">
        <v>15.612</v>
      </c>
      <c r="G31" s="685">
        <v>30.756</v>
      </c>
      <c r="H31" s="685">
        <v>0</v>
      </c>
      <c r="J31" s="521"/>
      <c r="K31" s="521">
        <v>24</v>
      </c>
      <c r="L31" s="685">
        <v>-122.94499999999999</v>
      </c>
      <c r="M31" s="685">
        <v>-29.978000000000002</v>
      </c>
      <c r="N31" s="685"/>
      <c r="O31" s="685">
        <v>-310.32799999999997</v>
      </c>
      <c r="P31" s="685">
        <v>-27.401</v>
      </c>
      <c r="Q31" s="685">
        <v>-2.3460000000000001</v>
      </c>
    </row>
    <row r="32" spans="1:17" ht="15.95" customHeight="1">
      <c r="A32" s="885"/>
      <c r="B32" s="881">
        <v>25</v>
      </c>
      <c r="C32" s="882">
        <v>1.5149999999999999</v>
      </c>
      <c r="D32" s="882">
        <v>103.3</v>
      </c>
      <c r="E32" s="882"/>
      <c r="F32" s="882">
        <v>2.653</v>
      </c>
      <c r="G32" s="882">
        <v>4.2060000000000004</v>
      </c>
      <c r="H32" s="882">
        <v>0</v>
      </c>
      <c r="I32" s="885"/>
      <c r="J32" s="881"/>
      <c r="K32" s="881">
        <v>25</v>
      </c>
      <c r="L32" s="882">
        <v>-209.82599999999999</v>
      </c>
      <c r="M32" s="882">
        <v>-12.925000000000001</v>
      </c>
      <c r="N32" s="882"/>
      <c r="O32" s="882">
        <v>-371.053</v>
      </c>
      <c r="P32" s="882">
        <v>-74.191999999999993</v>
      </c>
      <c r="Q32" s="882">
        <v>-19.015000000000001</v>
      </c>
    </row>
    <row r="33" spans="1:17" ht="15.95" customHeight="1">
      <c r="B33" s="521">
        <v>26</v>
      </c>
      <c r="C33" s="685">
        <v>4.1390000000000002</v>
      </c>
      <c r="D33" s="685">
        <v>59.597999999999999</v>
      </c>
      <c r="E33" s="685"/>
      <c r="F33" s="685">
        <v>59.47</v>
      </c>
      <c r="G33" s="685">
        <v>18.495000000000001</v>
      </c>
      <c r="H33" s="685">
        <v>1.365</v>
      </c>
      <c r="J33" s="521"/>
      <c r="K33" s="521">
        <v>26</v>
      </c>
      <c r="L33" s="685">
        <v>-189.50200000000001</v>
      </c>
      <c r="M33" s="685">
        <v>-56.978000000000002</v>
      </c>
      <c r="N33" s="685"/>
      <c r="O33" s="685">
        <v>-141.73599999999999</v>
      </c>
      <c r="P33" s="685">
        <v>-48.430999999999997</v>
      </c>
      <c r="Q33" s="685">
        <v>-21.670999999999999</v>
      </c>
    </row>
    <row r="34" spans="1:17" ht="15.95" customHeight="1">
      <c r="A34" s="885"/>
      <c r="B34" s="881">
        <v>27</v>
      </c>
      <c r="C34" s="882">
        <v>18.407</v>
      </c>
      <c r="D34" s="882">
        <v>6.4240000000000004</v>
      </c>
      <c r="E34" s="882"/>
      <c r="F34" s="882">
        <v>106.06699999999999</v>
      </c>
      <c r="G34" s="882">
        <v>35.639000000000003</v>
      </c>
      <c r="H34" s="882">
        <v>4.46</v>
      </c>
      <c r="I34" s="885"/>
      <c r="J34" s="881"/>
      <c r="K34" s="881">
        <v>27</v>
      </c>
      <c r="L34" s="882">
        <v>-163.09200000000001</v>
      </c>
      <c r="M34" s="882">
        <v>-131.43199999999999</v>
      </c>
      <c r="N34" s="882"/>
      <c r="O34" s="882">
        <v>-97.641999999999996</v>
      </c>
      <c r="P34" s="882">
        <v>-33.015000000000001</v>
      </c>
      <c r="Q34" s="882">
        <v>-8.9990000000000006</v>
      </c>
    </row>
    <row r="35" spans="1:17" ht="15.95" customHeight="1">
      <c r="B35" s="521">
        <v>28</v>
      </c>
      <c r="C35" s="685">
        <v>30.222000000000001</v>
      </c>
      <c r="D35" s="685">
        <v>2.702</v>
      </c>
      <c r="E35" s="685"/>
      <c r="F35" s="685">
        <v>156.86500000000001</v>
      </c>
      <c r="G35" s="685">
        <v>39.225999999999999</v>
      </c>
      <c r="H35" s="685">
        <v>1.4850000000000001</v>
      </c>
      <c r="J35" s="521"/>
      <c r="K35" s="521">
        <v>28</v>
      </c>
      <c r="L35" s="685">
        <v>-114.517</v>
      </c>
      <c r="M35" s="685">
        <v>-214.97200000000001</v>
      </c>
      <c r="N35" s="685"/>
      <c r="O35" s="685">
        <v>-42.314</v>
      </c>
      <c r="P35" s="685">
        <v>-40.56</v>
      </c>
      <c r="Q35" s="685">
        <v>-37.517000000000003</v>
      </c>
    </row>
    <row r="36" spans="1:17" ht="15.95" customHeight="1">
      <c r="A36" s="885"/>
      <c r="B36" s="881">
        <v>29</v>
      </c>
      <c r="C36" s="882">
        <v>26.102</v>
      </c>
      <c r="D36" s="882">
        <v>3.0760000000000001</v>
      </c>
      <c r="E36" s="882"/>
      <c r="F36" s="882">
        <v>107.345</v>
      </c>
      <c r="G36" s="882">
        <v>33.234999999999999</v>
      </c>
      <c r="H36" s="882">
        <v>0</v>
      </c>
      <c r="I36" s="885"/>
      <c r="J36" s="881"/>
      <c r="K36" s="881">
        <v>29</v>
      </c>
      <c r="L36" s="882">
        <v>-140.179</v>
      </c>
      <c r="M36" s="882">
        <v>-180.20599999999999</v>
      </c>
      <c r="N36" s="882"/>
      <c r="O36" s="882">
        <v>-109.447</v>
      </c>
      <c r="P36" s="882">
        <v>-49.542000000000002</v>
      </c>
      <c r="Q36" s="882">
        <v>-50.387999999999998</v>
      </c>
    </row>
    <row r="37" spans="1:17" ht="15.95" customHeight="1">
      <c r="B37" s="521">
        <v>30</v>
      </c>
      <c r="C37" s="685">
        <v>8.0310000000000006</v>
      </c>
      <c r="D37" s="685">
        <v>5.173</v>
      </c>
      <c r="E37" s="685"/>
      <c r="F37" s="685">
        <v>41.497999999999998</v>
      </c>
      <c r="G37" s="685">
        <v>20.445</v>
      </c>
      <c r="H37" s="685">
        <v>0</v>
      </c>
      <c r="J37" s="521"/>
      <c r="K37" s="521">
        <v>30</v>
      </c>
      <c r="L37" s="685">
        <v>-162.51400000000001</v>
      </c>
      <c r="M37" s="685">
        <v>-150.84899999999999</v>
      </c>
      <c r="N37" s="685"/>
      <c r="O37" s="685">
        <v>-207.92</v>
      </c>
      <c r="P37" s="685">
        <v>-57.89</v>
      </c>
      <c r="Q37" s="685">
        <v>-56.975999999999999</v>
      </c>
    </row>
    <row r="38" spans="1:17" ht="15.95" customHeight="1">
      <c r="A38" s="885"/>
      <c r="B38" s="881">
        <v>31</v>
      </c>
      <c r="C38" s="882">
        <v>7.9580000000000002</v>
      </c>
      <c r="D38" s="882">
        <v>5.6390000000000002</v>
      </c>
      <c r="E38" s="882"/>
      <c r="F38" s="882">
        <v>12.891</v>
      </c>
      <c r="G38" s="882">
        <v>7.7039999999999997</v>
      </c>
      <c r="H38" s="882">
        <v>0</v>
      </c>
      <c r="I38" s="885"/>
      <c r="J38" s="881"/>
      <c r="K38" s="881">
        <v>31</v>
      </c>
      <c r="L38" s="882">
        <v>-175.405</v>
      </c>
      <c r="M38" s="882">
        <v>-137.578</v>
      </c>
      <c r="N38" s="882"/>
      <c r="O38" s="882">
        <v>-260.517</v>
      </c>
      <c r="P38" s="882">
        <v>-65.042000000000002</v>
      </c>
      <c r="Q38" s="882">
        <v>-28.282</v>
      </c>
    </row>
    <row r="39" spans="1:17" ht="15.95" customHeight="1">
      <c r="B39" s="521">
        <v>32</v>
      </c>
      <c r="C39" s="685">
        <v>14.885</v>
      </c>
      <c r="D39" s="685">
        <v>6.3529999999999998</v>
      </c>
      <c r="E39" s="685"/>
      <c r="F39" s="685">
        <v>63.750999999999998</v>
      </c>
      <c r="G39" s="685">
        <v>36.652999999999999</v>
      </c>
      <c r="H39" s="685">
        <v>0</v>
      </c>
      <c r="J39" s="521"/>
      <c r="K39" s="521">
        <v>32</v>
      </c>
      <c r="L39" s="685">
        <v>-92.415000000000006</v>
      </c>
      <c r="M39" s="685">
        <v>-140.22499999999999</v>
      </c>
      <c r="N39" s="685"/>
      <c r="O39" s="685">
        <v>-114.13200000000001</v>
      </c>
      <c r="P39" s="685">
        <v>-26.725000000000001</v>
      </c>
      <c r="Q39" s="685">
        <v>-37.256999999999998</v>
      </c>
    </row>
    <row r="40" spans="1:17" ht="15.95" customHeight="1">
      <c r="A40" s="885"/>
      <c r="B40" s="881">
        <v>33</v>
      </c>
      <c r="C40" s="882">
        <v>24.606999999999999</v>
      </c>
      <c r="D40" s="882">
        <v>11.308999999999999</v>
      </c>
      <c r="E40" s="882"/>
      <c r="F40" s="882">
        <v>74.747</v>
      </c>
      <c r="G40" s="882">
        <v>9.9160000000000004</v>
      </c>
      <c r="H40" s="882">
        <v>0</v>
      </c>
      <c r="I40" s="885"/>
      <c r="J40" s="881"/>
      <c r="K40" s="881">
        <v>33</v>
      </c>
      <c r="L40" s="882">
        <v>-46.77</v>
      </c>
      <c r="M40" s="882">
        <v>-153.316</v>
      </c>
      <c r="N40" s="882"/>
      <c r="O40" s="882">
        <v>-56.728999999999999</v>
      </c>
      <c r="P40" s="882">
        <v>-0.52600000000000002</v>
      </c>
      <c r="Q40" s="882">
        <v>-1.361</v>
      </c>
    </row>
    <row r="41" spans="1:17" ht="15.95" customHeight="1">
      <c r="B41" s="521">
        <v>34</v>
      </c>
      <c r="C41" s="685">
        <v>60.779000000000003</v>
      </c>
      <c r="D41" s="685">
        <v>12.647</v>
      </c>
      <c r="E41" s="685"/>
      <c r="F41" s="685">
        <v>59.872</v>
      </c>
      <c r="G41" s="685">
        <v>28.518000000000001</v>
      </c>
      <c r="H41" s="685">
        <v>0</v>
      </c>
      <c r="J41" s="521"/>
      <c r="K41" s="521">
        <v>34</v>
      </c>
      <c r="L41" s="685">
        <v>-31.695</v>
      </c>
      <c r="M41" s="685">
        <v>-111.297</v>
      </c>
      <c r="N41" s="685"/>
      <c r="O41" s="685">
        <v>-44.476999999999997</v>
      </c>
      <c r="P41" s="685">
        <v>-7.0359999999999996</v>
      </c>
      <c r="Q41" s="685">
        <v>-0.82899999999999996</v>
      </c>
    </row>
    <row r="42" spans="1:17" ht="15.95" customHeight="1">
      <c r="A42" s="885"/>
      <c r="B42" s="881">
        <v>35</v>
      </c>
      <c r="C42" s="882">
        <v>58.3</v>
      </c>
      <c r="D42" s="882">
        <v>48.311999999999998</v>
      </c>
      <c r="E42" s="882"/>
      <c r="F42" s="882">
        <v>92.421000000000006</v>
      </c>
      <c r="G42" s="882">
        <v>89.153000000000006</v>
      </c>
      <c r="H42" s="882">
        <v>13.278</v>
      </c>
      <c r="I42" s="885"/>
      <c r="J42" s="881"/>
      <c r="K42" s="881">
        <v>35</v>
      </c>
      <c r="L42" s="882">
        <v>-10.787000000000001</v>
      </c>
      <c r="M42" s="882">
        <v>-73.906000000000006</v>
      </c>
      <c r="N42" s="882"/>
      <c r="O42" s="882">
        <v>-39.698999999999998</v>
      </c>
      <c r="P42" s="882">
        <v>-1E-3</v>
      </c>
      <c r="Q42" s="882">
        <v>-1.645</v>
      </c>
    </row>
    <row r="43" spans="1:17" ht="15.95" customHeight="1">
      <c r="B43" s="521">
        <v>36</v>
      </c>
      <c r="C43" s="685">
        <v>106.018</v>
      </c>
      <c r="D43" s="685">
        <v>55.756999999999998</v>
      </c>
      <c r="E43" s="685"/>
      <c r="F43" s="685">
        <v>84.906999999999996</v>
      </c>
      <c r="G43" s="685">
        <v>30.808</v>
      </c>
      <c r="H43" s="685">
        <v>16.818999999999999</v>
      </c>
      <c r="J43" s="521"/>
      <c r="K43" s="521">
        <v>36</v>
      </c>
      <c r="L43" s="685">
        <v>-10.148999999999999</v>
      </c>
      <c r="M43" s="685">
        <v>-45.085999999999999</v>
      </c>
      <c r="N43" s="685"/>
      <c r="O43" s="685">
        <v>-107.255</v>
      </c>
      <c r="P43" s="685">
        <v>-1E-3</v>
      </c>
      <c r="Q43" s="685">
        <v>-1.244</v>
      </c>
    </row>
    <row r="44" spans="1:17" ht="15.95" customHeight="1">
      <c r="A44" s="885"/>
      <c r="B44" s="881">
        <v>37</v>
      </c>
      <c r="C44" s="882">
        <v>159.774</v>
      </c>
      <c r="D44" s="882">
        <v>56.04</v>
      </c>
      <c r="E44" s="882"/>
      <c r="F44" s="882">
        <v>120.45399999999999</v>
      </c>
      <c r="G44" s="882">
        <v>74.486999999999995</v>
      </c>
      <c r="H44" s="882">
        <v>1.5029999999999999</v>
      </c>
      <c r="I44" s="885"/>
      <c r="J44" s="881"/>
      <c r="K44" s="881">
        <v>37</v>
      </c>
      <c r="L44" s="882">
        <v>-7.1790000000000003</v>
      </c>
      <c r="M44" s="882">
        <v>-66.677000000000007</v>
      </c>
      <c r="N44" s="882"/>
      <c r="O44" s="882">
        <v>-84.978999999999999</v>
      </c>
      <c r="P44" s="882">
        <v>-0.42099999999999999</v>
      </c>
      <c r="Q44" s="882">
        <v>0</v>
      </c>
    </row>
    <row r="45" spans="1:17" ht="15.95" customHeight="1">
      <c r="B45" s="521">
        <v>38</v>
      </c>
      <c r="C45" s="685">
        <v>116.575</v>
      </c>
      <c r="D45" s="685">
        <v>57.936</v>
      </c>
      <c r="E45" s="685"/>
      <c r="F45" s="685">
        <v>98.373999999999995</v>
      </c>
      <c r="G45" s="685">
        <v>65.462000000000003</v>
      </c>
      <c r="H45" s="685">
        <v>9.3000000000000007</v>
      </c>
      <c r="J45" s="521"/>
      <c r="K45" s="521">
        <v>38</v>
      </c>
      <c r="L45" s="685">
        <v>-22.542000000000002</v>
      </c>
      <c r="M45" s="685">
        <v>-64.605000000000004</v>
      </c>
      <c r="N45" s="685"/>
      <c r="O45" s="685">
        <v>-81.117000000000004</v>
      </c>
      <c r="P45" s="685">
        <v>-5.0599999999999996</v>
      </c>
      <c r="Q45" s="685">
        <v>-0.59899999999999998</v>
      </c>
    </row>
    <row r="46" spans="1:17" ht="15.95" customHeight="1">
      <c r="A46" s="885"/>
      <c r="B46" s="881">
        <v>39</v>
      </c>
      <c r="C46" s="882">
        <v>129.03700000000001</v>
      </c>
      <c r="D46" s="882">
        <v>118.255</v>
      </c>
      <c r="E46" s="882"/>
      <c r="F46" s="882">
        <v>117.818</v>
      </c>
      <c r="G46" s="882">
        <v>45.427</v>
      </c>
      <c r="H46" s="882">
        <v>4.8310000000000004</v>
      </c>
      <c r="I46" s="885"/>
      <c r="J46" s="881"/>
      <c r="K46" s="881">
        <v>39</v>
      </c>
      <c r="L46" s="882">
        <v>-26.254000000000001</v>
      </c>
      <c r="M46" s="882">
        <v>-32.387</v>
      </c>
      <c r="N46" s="882"/>
      <c r="O46" s="882">
        <v>-128.52500000000001</v>
      </c>
      <c r="P46" s="882">
        <v>-44.1</v>
      </c>
      <c r="Q46" s="882">
        <v>-5.6070000000000002</v>
      </c>
    </row>
    <row r="47" spans="1:17" ht="15.95" customHeight="1">
      <c r="B47" s="521">
        <v>40</v>
      </c>
      <c r="C47" s="685">
        <v>88.793000000000006</v>
      </c>
      <c r="D47" s="685">
        <v>90.460999999999999</v>
      </c>
      <c r="E47" s="685"/>
      <c r="F47" s="685">
        <v>232.62700000000001</v>
      </c>
      <c r="G47" s="685">
        <v>46.552999999999997</v>
      </c>
      <c r="H47" s="685">
        <v>6.7290000000000001</v>
      </c>
      <c r="J47" s="521"/>
      <c r="K47" s="521">
        <v>40</v>
      </c>
      <c r="L47" s="685">
        <v>-40.348999999999997</v>
      </c>
      <c r="M47" s="685">
        <v>-13.004</v>
      </c>
      <c r="N47" s="685"/>
      <c r="O47" s="685">
        <v>-56.523000000000003</v>
      </c>
      <c r="P47" s="685">
        <v>-27.524999999999999</v>
      </c>
      <c r="Q47" s="685">
        <v>-4.2450000000000001</v>
      </c>
    </row>
    <row r="48" spans="1:17" ht="15.95" customHeight="1">
      <c r="A48" s="885"/>
      <c r="B48" s="881">
        <v>41</v>
      </c>
      <c r="C48" s="882">
        <v>52.67</v>
      </c>
      <c r="D48" s="882">
        <v>129.83000000000001</v>
      </c>
      <c r="E48" s="882"/>
      <c r="F48" s="882">
        <v>297.11900000000003</v>
      </c>
      <c r="G48" s="882">
        <v>38.584000000000003</v>
      </c>
      <c r="H48" s="882">
        <v>15.69</v>
      </c>
      <c r="I48" s="885"/>
      <c r="J48" s="881"/>
      <c r="K48" s="881">
        <v>41</v>
      </c>
      <c r="L48" s="882">
        <v>-43.707000000000001</v>
      </c>
      <c r="M48" s="882">
        <v>-41.134999999999998</v>
      </c>
      <c r="N48" s="882"/>
      <c r="O48" s="882">
        <v>-41.533000000000001</v>
      </c>
      <c r="P48" s="882">
        <v>-29.463000000000001</v>
      </c>
      <c r="Q48" s="882">
        <v>-4.2409999999999997</v>
      </c>
    </row>
    <row r="49" spans="1:17" ht="15.95" customHeight="1">
      <c r="B49" s="521">
        <v>42</v>
      </c>
      <c r="C49" s="685">
        <v>137.149</v>
      </c>
      <c r="D49" s="685">
        <v>106.929</v>
      </c>
      <c r="E49" s="685"/>
      <c r="F49" s="685">
        <v>211.26400000000001</v>
      </c>
      <c r="G49" s="685">
        <v>47.029000000000003</v>
      </c>
      <c r="H49" s="685">
        <v>13.965</v>
      </c>
      <c r="J49" s="521"/>
      <c r="K49" s="521">
        <v>42</v>
      </c>
      <c r="L49" s="685">
        <v>-8.6379999999999999</v>
      </c>
      <c r="M49" s="685">
        <v>-62.569000000000003</v>
      </c>
      <c r="N49" s="685"/>
      <c r="O49" s="685">
        <v>-63.795000000000002</v>
      </c>
      <c r="P49" s="685">
        <v>-22.364000000000001</v>
      </c>
      <c r="Q49" s="685">
        <v>-10.43</v>
      </c>
    </row>
    <row r="50" spans="1:17" ht="15.95" customHeight="1">
      <c r="A50" s="885"/>
      <c r="B50" s="881">
        <v>43</v>
      </c>
      <c r="C50" s="882">
        <v>105.30800000000001</v>
      </c>
      <c r="D50" s="882">
        <v>116.239</v>
      </c>
      <c r="E50" s="882"/>
      <c r="F50" s="882">
        <v>149.63200000000001</v>
      </c>
      <c r="G50" s="882">
        <v>55.823</v>
      </c>
      <c r="H50" s="882">
        <v>12.146000000000001</v>
      </c>
      <c r="I50" s="885"/>
      <c r="J50" s="881"/>
      <c r="K50" s="881">
        <v>43</v>
      </c>
      <c r="L50" s="882">
        <v>-10.291</v>
      </c>
      <c r="M50" s="882">
        <v>-59.387</v>
      </c>
      <c r="N50" s="882"/>
      <c r="O50" s="882">
        <v>-61.54</v>
      </c>
      <c r="P50" s="882">
        <v>-10.298999999999999</v>
      </c>
      <c r="Q50" s="882">
        <v>-12.33</v>
      </c>
    </row>
    <row r="51" spans="1:17" ht="15.95" customHeight="1">
      <c r="B51" s="521">
        <v>44</v>
      </c>
      <c r="C51" s="685">
        <v>88.81</v>
      </c>
      <c r="D51" s="685">
        <v>142.36000000000001</v>
      </c>
      <c r="E51" s="685"/>
      <c r="F51" s="685">
        <v>83.335999999999999</v>
      </c>
      <c r="G51" s="685">
        <v>38.429000000000002</v>
      </c>
      <c r="H51" s="685">
        <v>15.38</v>
      </c>
      <c r="J51" s="521"/>
      <c r="K51" s="521">
        <v>44</v>
      </c>
      <c r="L51" s="685">
        <v>-29.744</v>
      </c>
      <c r="M51" s="685">
        <v>-24.603999999999999</v>
      </c>
      <c r="N51" s="685"/>
      <c r="O51" s="685">
        <v>-146.898</v>
      </c>
      <c r="P51" s="685">
        <v>-21.709</v>
      </c>
      <c r="Q51" s="685">
        <v>-13.967000000000001</v>
      </c>
    </row>
    <row r="52" spans="1:17" ht="15.95" customHeight="1">
      <c r="A52" s="885"/>
      <c r="B52" s="881">
        <v>45</v>
      </c>
      <c r="C52" s="882">
        <v>103.545</v>
      </c>
      <c r="D52" s="882">
        <v>142.52000000000001</v>
      </c>
      <c r="E52" s="882"/>
      <c r="F52" s="882">
        <v>74.983000000000004</v>
      </c>
      <c r="G52" s="882">
        <v>26.616</v>
      </c>
      <c r="H52" s="882">
        <v>12.411</v>
      </c>
      <c r="I52" s="885"/>
      <c r="J52" s="881"/>
      <c r="K52" s="881">
        <v>45</v>
      </c>
      <c r="L52" s="882">
        <v>-31.779</v>
      </c>
      <c r="M52" s="882">
        <v>-37.295000000000002</v>
      </c>
      <c r="N52" s="882"/>
      <c r="O52" s="882">
        <v>-172.04599999999999</v>
      </c>
      <c r="P52" s="882">
        <v>-22.03</v>
      </c>
      <c r="Q52" s="882">
        <v>-11.766999999999999</v>
      </c>
    </row>
    <row r="53" spans="1:17" ht="15.95" customHeight="1">
      <c r="B53" s="521">
        <v>46</v>
      </c>
      <c r="C53" s="685">
        <v>78.772000000000006</v>
      </c>
      <c r="D53" s="685">
        <v>118.968</v>
      </c>
      <c r="E53" s="685"/>
      <c r="F53" s="685">
        <v>88.997</v>
      </c>
      <c r="G53" s="685">
        <v>41.302</v>
      </c>
      <c r="H53" s="685">
        <v>9.9469999999999992</v>
      </c>
      <c r="J53" s="521"/>
      <c r="K53" s="521">
        <v>46</v>
      </c>
      <c r="L53" s="685">
        <v>-39.765000000000001</v>
      </c>
      <c r="M53" s="685">
        <v>-59.841999999999999</v>
      </c>
      <c r="N53" s="685"/>
      <c r="O53" s="685">
        <v>-122.184</v>
      </c>
      <c r="P53" s="685">
        <v>-32.975999999999999</v>
      </c>
      <c r="Q53" s="685">
        <v>-11.59</v>
      </c>
    </row>
    <row r="54" spans="1:17" ht="15.95" customHeight="1">
      <c r="A54" s="885"/>
      <c r="B54" s="881">
        <v>47</v>
      </c>
      <c r="C54" s="882">
        <v>63.415999999999997</v>
      </c>
      <c r="D54" s="882">
        <v>59.984000000000002</v>
      </c>
      <c r="E54" s="882"/>
      <c r="F54" s="882">
        <v>108.497</v>
      </c>
      <c r="G54" s="882">
        <v>83.447999999999993</v>
      </c>
      <c r="H54" s="882">
        <v>16.739999999999998</v>
      </c>
      <c r="I54" s="885"/>
      <c r="J54" s="881"/>
      <c r="K54" s="881">
        <v>47</v>
      </c>
      <c r="L54" s="882">
        <v>-24.03</v>
      </c>
      <c r="M54" s="882">
        <v>-94.777000000000001</v>
      </c>
      <c r="N54" s="882"/>
      <c r="O54" s="882">
        <v>-77.596000000000004</v>
      </c>
      <c r="P54" s="882">
        <v>-3.1920000000000002</v>
      </c>
      <c r="Q54" s="882">
        <v>-1.2050000000000001</v>
      </c>
    </row>
    <row r="55" spans="1:17" ht="15.95" customHeight="1">
      <c r="B55" s="521">
        <v>48</v>
      </c>
      <c r="C55" s="685">
        <v>107.089</v>
      </c>
      <c r="D55" s="685">
        <v>118.105</v>
      </c>
      <c r="E55" s="685"/>
      <c r="F55" s="685">
        <v>144.202</v>
      </c>
      <c r="G55" s="685">
        <v>35.337000000000003</v>
      </c>
      <c r="H55" s="685">
        <v>18.667000000000002</v>
      </c>
      <c r="J55" s="521"/>
      <c r="K55" s="521">
        <v>48</v>
      </c>
      <c r="L55" s="685">
        <v>-3.9940000000000002</v>
      </c>
      <c r="M55" s="685">
        <v>-56.502000000000002</v>
      </c>
      <c r="N55" s="685"/>
      <c r="O55" s="685">
        <v>-59.448999999999998</v>
      </c>
      <c r="P55" s="685">
        <v>-0.379</v>
      </c>
      <c r="Q55" s="685">
        <v>0</v>
      </c>
    </row>
    <row r="56" spans="1:17" ht="15.95" customHeight="1">
      <c r="A56" s="885"/>
      <c r="B56" s="881">
        <v>49</v>
      </c>
      <c r="C56" s="882">
        <v>116.212</v>
      </c>
      <c r="D56" s="882">
        <v>194.62700000000001</v>
      </c>
      <c r="E56" s="882"/>
      <c r="F56" s="882">
        <v>123.874</v>
      </c>
      <c r="G56" s="882">
        <v>27.725000000000001</v>
      </c>
      <c r="H56" s="882">
        <v>13.599</v>
      </c>
      <c r="I56" s="885"/>
      <c r="J56" s="881"/>
      <c r="K56" s="881">
        <v>49</v>
      </c>
      <c r="L56" s="882">
        <v>-3.5289999999999999</v>
      </c>
      <c r="M56" s="882">
        <v>-11.119</v>
      </c>
      <c r="N56" s="882"/>
      <c r="O56" s="882">
        <v>-50.118000000000002</v>
      </c>
      <c r="P56" s="882">
        <v>-2.8410000000000002</v>
      </c>
      <c r="Q56" s="882">
        <v>-2.1970000000000001</v>
      </c>
    </row>
    <row r="57" spans="1:17" ht="15.95" customHeight="1">
      <c r="B57" s="521">
        <v>50</v>
      </c>
      <c r="C57" s="685">
        <v>219.98500000000001</v>
      </c>
      <c r="D57" s="685">
        <v>123.06</v>
      </c>
      <c r="E57" s="685"/>
      <c r="F57" s="685">
        <v>134.327</v>
      </c>
      <c r="G57" s="685">
        <v>57.597000000000001</v>
      </c>
      <c r="H57" s="685">
        <v>20.331</v>
      </c>
      <c r="J57" s="521"/>
      <c r="K57" s="521">
        <v>50</v>
      </c>
      <c r="L57" s="685">
        <v>-2.9319999999999999</v>
      </c>
      <c r="M57" s="685">
        <v>-37.207000000000001</v>
      </c>
      <c r="N57" s="685"/>
      <c r="O57" s="685">
        <v>-70.820999999999998</v>
      </c>
      <c r="P57" s="685">
        <v>0</v>
      </c>
      <c r="Q57" s="685">
        <v>-2.8029999999999999</v>
      </c>
    </row>
    <row r="58" spans="1:17" ht="15.95" customHeight="1">
      <c r="A58" s="885"/>
      <c r="B58" s="881">
        <v>51</v>
      </c>
      <c r="C58" s="882">
        <v>269.32299999999998</v>
      </c>
      <c r="D58" s="882">
        <v>175.03899999999999</v>
      </c>
      <c r="E58" s="882"/>
      <c r="F58" s="882">
        <v>83.337999999999994</v>
      </c>
      <c r="G58" s="882">
        <v>57.9</v>
      </c>
      <c r="H58" s="882">
        <v>19.756</v>
      </c>
      <c r="I58" s="885"/>
      <c r="J58" s="881"/>
      <c r="K58" s="881">
        <v>51</v>
      </c>
      <c r="L58" s="882">
        <v>-1.98</v>
      </c>
      <c r="M58" s="882">
        <v>-19.925000000000001</v>
      </c>
      <c r="N58" s="882"/>
      <c r="O58" s="882">
        <v>-124.107</v>
      </c>
      <c r="P58" s="882">
        <v>0</v>
      </c>
      <c r="Q58" s="882">
        <v>0</v>
      </c>
    </row>
    <row r="59" spans="1:17" ht="15.95" customHeight="1">
      <c r="B59" s="521">
        <v>52</v>
      </c>
      <c r="C59" s="685">
        <v>190.84</v>
      </c>
      <c r="D59" s="685">
        <v>192.53299999999999</v>
      </c>
      <c r="E59" s="685"/>
      <c r="F59" s="685">
        <v>27.728999999999999</v>
      </c>
      <c r="G59" s="685">
        <v>67.215999999999994</v>
      </c>
      <c r="H59" s="685">
        <v>19.053000000000001</v>
      </c>
      <c r="J59" s="521"/>
      <c r="K59" s="521">
        <v>52</v>
      </c>
      <c r="L59" s="685">
        <v>-2.4980000000000002</v>
      </c>
      <c r="M59" s="685">
        <v>-10.798</v>
      </c>
      <c r="N59" s="685"/>
      <c r="O59" s="685">
        <v>-222.059</v>
      </c>
      <c r="P59" s="685">
        <v>0</v>
      </c>
      <c r="Q59" s="685">
        <v>-0.96299999999999997</v>
      </c>
    </row>
    <row r="60" spans="1:17" ht="15.95" customHeight="1">
      <c r="A60" s="881">
        <v>2011</v>
      </c>
      <c r="B60" s="881">
        <v>1</v>
      </c>
      <c r="C60" s="882">
        <v>229.45400000000001</v>
      </c>
      <c r="D60" s="882">
        <v>137.09399999999999</v>
      </c>
      <c r="E60" s="882"/>
      <c r="F60" s="882">
        <v>14.946999999999999</v>
      </c>
      <c r="G60" s="882">
        <v>60.137</v>
      </c>
      <c r="H60" s="882">
        <v>8.3179999999999996</v>
      </c>
      <c r="I60" s="885"/>
      <c r="J60" s="881">
        <v>2011</v>
      </c>
      <c r="K60" s="881">
        <v>1</v>
      </c>
      <c r="L60" s="882">
        <v>-2.4540000000000002</v>
      </c>
      <c r="M60" s="882">
        <v>-52.707999999999998</v>
      </c>
      <c r="N60" s="882"/>
      <c r="O60" s="882">
        <v>-220.53200000000001</v>
      </c>
      <c r="P60" s="882">
        <v>-1E-3</v>
      </c>
      <c r="Q60" s="882">
        <v>-0.435</v>
      </c>
    </row>
    <row r="61" spans="1:17" ht="15.95" customHeight="1">
      <c r="A61" s="521"/>
      <c r="B61" s="521">
        <v>2</v>
      </c>
      <c r="C61" s="685">
        <v>196.53200000000001</v>
      </c>
      <c r="D61" s="685">
        <v>159.11199999999999</v>
      </c>
      <c r="E61" s="685"/>
      <c r="F61" s="685">
        <v>6.0149999999999997</v>
      </c>
      <c r="G61" s="685">
        <v>36.576000000000001</v>
      </c>
      <c r="H61" s="685">
        <v>12.411</v>
      </c>
      <c r="J61" s="521"/>
      <c r="K61" s="521">
        <v>2</v>
      </c>
      <c r="L61" s="685">
        <v>-4.4690000000000003</v>
      </c>
      <c r="M61" s="685">
        <v>-22.574000000000002</v>
      </c>
      <c r="N61" s="685"/>
      <c r="O61" s="685">
        <v>-318.23399999999998</v>
      </c>
      <c r="P61" s="685">
        <v>0</v>
      </c>
      <c r="Q61" s="685">
        <v>0</v>
      </c>
    </row>
    <row r="62" spans="1:17" ht="15.95" customHeight="1">
      <c r="A62" s="881"/>
      <c r="B62" s="881">
        <v>3</v>
      </c>
      <c r="C62" s="882">
        <v>138.005</v>
      </c>
      <c r="D62" s="882">
        <v>177.07400000000001</v>
      </c>
      <c r="E62" s="882"/>
      <c r="F62" s="882">
        <v>5.452</v>
      </c>
      <c r="G62" s="882">
        <v>45.978999999999999</v>
      </c>
      <c r="H62" s="882">
        <v>13.499000000000001</v>
      </c>
      <c r="I62" s="885"/>
      <c r="J62" s="881"/>
      <c r="K62" s="881">
        <v>3</v>
      </c>
      <c r="L62" s="882">
        <v>-8.76</v>
      </c>
      <c r="M62" s="882">
        <v>-11.83</v>
      </c>
      <c r="N62" s="882"/>
      <c r="O62" s="882">
        <v>-353.56200000000001</v>
      </c>
      <c r="P62" s="882">
        <v>-1.728</v>
      </c>
      <c r="Q62" s="882">
        <v>0</v>
      </c>
    </row>
    <row r="63" spans="1:17" ht="15.95" customHeight="1">
      <c r="A63" s="521"/>
      <c r="B63" s="521">
        <v>4</v>
      </c>
      <c r="C63" s="685">
        <v>127.733</v>
      </c>
      <c r="D63" s="685">
        <v>172.48699999999999</v>
      </c>
      <c r="E63" s="685"/>
      <c r="F63" s="685">
        <v>10.465999999999999</v>
      </c>
      <c r="G63" s="685">
        <v>33.499000000000002</v>
      </c>
      <c r="H63" s="685">
        <v>15.121</v>
      </c>
      <c r="J63" s="521"/>
      <c r="K63" s="521">
        <v>4</v>
      </c>
      <c r="L63" s="685">
        <v>-13.289</v>
      </c>
      <c r="M63" s="685">
        <v>-16.312000000000001</v>
      </c>
      <c r="N63" s="685"/>
      <c r="O63" s="685">
        <v>-312.58999999999997</v>
      </c>
      <c r="P63" s="685">
        <v>-9.5250000000000004</v>
      </c>
      <c r="Q63" s="685">
        <v>-5.7000000000000002E-2</v>
      </c>
    </row>
    <row r="64" spans="1:17" ht="15.95" customHeight="1">
      <c r="A64" s="881"/>
      <c r="B64" s="881">
        <v>5</v>
      </c>
      <c r="C64" s="882">
        <v>107.337</v>
      </c>
      <c r="D64" s="882">
        <v>111.91200000000001</v>
      </c>
      <c r="E64" s="882"/>
      <c r="F64" s="882">
        <v>3.67</v>
      </c>
      <c r="G64" s="882">
        <v>8.1820000000000004</v>
      </c>
      <c r="H64" s="882">
        <v>2.9449999999999998</v>
      </c>
      <c r="I64" s="885"/>
      <c r="J64" s="881"/>
      <c r="K64" s="881">
        <v>5</v>
      </c>
      <c r="L64" s="882">
        <v>-20.579000000000001</v>
      </c>
      <c r="M64" s="882">
        <v>-29.422000000000001</v>
      </c>
      <c r="N64" s="882"/>
      <c r="O64" s="882">
        <v>-376.50900000000001</v>
      </c>
      <c r="P64" s="882">
        <v>-18.303000000000001</v>
      </c>
      <c r="Q64" s="882">
        <v>-12.843</v>
      </c>
    </row>
    <row r="65" spans="1:17" ht="15.95" customHeight="1">
      <c r="A65" s="521"/>
      <c r="B65" s="521">
        <v>6</v>
      </c>
      <c r="C65" s="685">
        <v>173.69800000000001</v>
      </c>
      <c r="D65" s="685">
        <v>107.789</v>
      </c>
      <c r="E65" s="685"/>
      <c r="F65" s="685">
        <v>3.4470000000000001</v>
      </c>
      <c r="G65" s="685">
        <v>35.981000000000002</v>
      </c>
      <c r="H65" s="685">
        <v>2.456</v>
      </c>
      <c r="J65" s="521"/>
      <c r="K65" s="521">
        <v>6</v>
      </c>
      <c r="L65" s="685">
        <v>-8.8260000000000005</v>
      </c>
      <c r="M65" s="685">
        <v>-41.98</v>
      </c>
      <c r="N65" s="685"/>
      <c r="O65" s="685">
        <v>-359.58300000000003</v>
      </c>
      <c r="P65" s="685">
        <v>-1.823</v>
      </c>
      <c r="Q65" s="685">
        <v>-2.0249999999999999</v>
      </c>
    </row>
    <row r="66" spans="1:17" ht="15.95" customHeight="1">
      <c r="A66" s="881"/>
      <c r="B66" s="881">
        <v>7</v>
      </c>
      <c r="C66" s="882">
        <v>231.095</v>
      </c>
      <c r="D66" s="882">
        <v>35.673999999999999</v>
      </c>
      <c r="E66" s="882"/>
      <c r="F66" s="882">
        <v>26.579000000000001</v>
      </c>
      <c r="G66" s="882">
        <v>44.115000000000002</v>
      </c>
      <c r="H66" s="882">
        <v>14.872999999999999</v>
      </c>
      <c r="I66" s="885"/>
      <c r="J66" s="881"/>
      <c r="K66" s="881">
        <v>7</v>
      </c>
      <c r="L66" s="882">
        <v>-1.637</v>
      </c>
      <c r="M66" s="882">
        <v>-119.746</v>
      </c>
      <c r="N66" s="882"/>
      <c r="O66" s="882">
        <v>-152.673</v>
      </c>
      <c r="P66" s="882">
        <v>0</v>
      </c>
      <c r="Q66" s="882">
        <v>0</v>
      </c>
    </row>
    <row r="67" spans="1:17" ht="15.95" customHeight="1">
      <c r="A67" s="521"/>
      <c r="B67" s="521">
        <v>8</v>
      </c>
      <c r="C67" s="685">
        <v>246.09399999999999</v>
      </c>
      <c r="D67" s="685">
        <v>102.90600000000001</v>
      </c>
      <c r="E67" s="685"/>
      <c r="F67" s="685">
        <v>40.890999999999998</v>
      </c>
      <c r="G67" s="685">
        <v>55.027999999999999</v>
      </c>
      <c r="H67" s="685">
        <v>22.129000000000001</v>
      </c>
      <c r="J67" s="521"/>
      <c r="K67" s="521">
        <v>8</v>
      </c>
      <c r="L67" s="685">
        <v>-3.4279999999999999</v>
      </c>
      <c r="M67" s="685">
        <v>-54.362000000000002</v>
      </c>
      <c r="N67" s="685"/>
      <c r="O67" s="685">
        <v>-148.732</v>
      </c>
      <c r="P67" s="685">
        <v>0</v>
      </c>
      <c r="Q67" s="685">
        <v>0</v>
      </c>
    </row>
    <row r="68" spans="1:17" ht="15.95" customHeight="1">
      <c r="A68" s="881"/>
      <c r="B68" s="881">
        <v>9</v>
      </c>
      <c r="C68" s="882">
        <v>121.874</v>
      </c>
      <c r="D68" s="882">
        <v>218.69300000000001</v>
      </c>
      <c r="E68" s="882"/>
      <c r="F68" s="882">
        <v>4.2480000000000002</v>
      </c>
      <c r="G68" s="882">
        <v>35.896000000000001</v>
      </c>
      <c r="H68" s="882">
        <v>8.5060000000000002</v>
      </c>
      <c r="I68" s="885"/>
      <c r="J68" s="881"/>
      <c r="K68" s="881">
        <v>9</v>
      </c>
      <c r="L68" s="882">
        <v>-15.39</v>
      </c>
      <c r="M68" s="882">
        <v>-5.5309999999999997</v>
      </c>
      <c r="N68" s="882"/>
      <c r="O68" s="882">
        <v>-264.87599999999998</v>
      </c>
      <c r="P68" s="882">
        <v>-5.8739999999999997</v>
      </c>
      <c r="Q68" s="882">
        <v>-0.34399999999999997</v>
      </c>
    </row>
    <row r="69" spans="1:17" ht="15.95" customHeight="1">
      <c r="A69" s="521"/>
      <c r="B69" s="521">
        <v>10</v>
      </c>
      <c r="C69" s="685">
        <v>108.795</v>
      </c>
      <c r="D69" s="685">
        <v>183.917</v>
      </c>
      <c r="E69" s="685"/>
      <c r="F69" s="685">
        <v>3.1070000000000002</v>
      </c>
      <c r="G69" s="685">
        <v>22.558</v>
      </c>
      <c r="H69" s="685">
        <v>7.3550000000000004</v>
      </c>
      <c r="J69" s="521"/>
      <c r="K69" s="521">
        <v>10</v>
      </c>
      <c r="L69" s="685">
        <v>-13.459</v>
      </c>
      <c r="M69" s="685">
        <v>-4.9530000000000003</v>
      </c>
      <c r="N69" s="685"/>
      <c r="O69" s="685">
        <v>-329.63099999999997</v>
      </c>
      <c r="P69" s="685">
        <v>-11.425000000000001</v>
      </c>
      <c r="Q69" s="685">
        <v>-7.133</v>
      </c>
    </row>
    <row r="70" spans="1:17" ht="15.95" customHeight="1">
      <c r="A70" s="881"/>
      <c r="B70" s="881">
        <v>11</v>
      </c>
      <c r="C70" s="882">
        <v>104.72</v>
      </c>
      <c r="D70" s="882">
        <v>198.39599999999999</v>
      </c>
      <c r="E70" s="882"/>
      <c r="F70" s="882">
        <v>10.022</v>
      </c>
      <c r="G70" s="882">
        <v>19.466999999999999</v>
      </c>
      <c r="H70" s="882">
        <v>10.180999999999999</v>
      </c>
      <c r="I70" s="885"/>
      <c r="J70" s="881"/>
      <c r="K70" s="881">
        <v>11</v>
      </c>
      <c r="L70" s="882">
        <v>-21.419</v>
      </c>
      <c r="M70" s="882">
        <v>-5.4480000000000004</v>
      </c>
      <c r="N70" s="882"/>
      <c r="O70" s="882">
        <v>-218.47900000000001</v>
      </c>
      <c r="P70" s="882">
        <v>-8.4</v>
      </c>
      <c r="Q70" s="882">
        <v>0</v>
      </c>
    </row>
    <row r="71" spans="1:17" ht="15.95" customHeight="1">
      <c r="A71" s="521"/>
      <c r="B71" s="521">
        <v>12</v>
      </c>
      <c r="C71" s="685">
        <v>152.44900000000001</v>
      </c>
      <c r="D71" s="685">
        <v>187.32</v>
      </c>
      <c r="E71" s="685"/>
      <c r="F71" s="685">
        <v>4.5259999999999998</v>
      </c>
      <c r="G71" s="685">
        <v>30.143000000000001</v>
      </c>
      <c r="H71" s="685">
        <v>19.751000000000001</v>
      </c>
      <c r="J71" s="521"/>
      <c r="K71" s="521">
        <v>12</v>
      </c>
      <c r="L71" s="685">
        <v>-4.0739999999999998</v>
      </c>
      <c r="M71" s="685">
        <v>-3.508</v>
      </c>
      <c r="N71" s="685"/>
      <c r="O71" s="685">
        <v>-293.36799999999999</v>
      </c>
      <c r="P71" s="685">
        <v>-2.8519999999999999</v>
      </c>
      <c r="Q71" s="685">
        <v>-0.28499999999999998</v>
      </c>
    </row>
    <row r="72" spans="1:17" ht="15.95" customHeight="1">
      <c r="A72" s="881"/>
      <c r="B72" s="881">
        <v>13</v>
      </c>
      <c r="C72" s="882">
        <v>168.11099999999999</v>
      </c>
      <c r="D72" s="882">
        <v>176.18299999999999</v>
      </c>
      <c r="E72" s="882"/>
      <c r="F72" s="882">
        <v>25.247</v>
      </c>
      <c r="G72" s="882">
        <v>37.203000000000003</v>
      </c>
      <c r="H72" s="882">
        <v>17.271000000000001</v>
      </c>
      <c r="I72" s="885"/>
      <c r="J72" s="881"/>
      <c r="K72" s="881">
        <v>13</v>
      </c>
      <c r="L72" s="882">
        <v>-2.2570000000000001</v>
      </c>
      <c r="M72" s="882">
        <v>-6.0549999999999997</v>
      </c>
      <c r="N72" s="882"/>
      <c r="O72" s="882">
        <v>-177.495</v>
      </c>
      <c r="P72" s="882">
        <v>-0.96099999999999997</v>
      </c>
      <c r="Q72" s="882">
        <v>-1.121</v>
      </c>
    </row>
    <row r="73" spans="1:17" ht="15.95" customHeight="1">
      <c r="A73" s="521"/>
      <c r="B73" s="521">
        <v>14</v>
      </c>
      <c r="C73" s="685">
        <v>116.89100000000001</v>
      </c>
      <c r="D73" s="685">
        <v>78.641999999999996</v>
      </c>
      <c r="E73" s="685"/>
      <c r="F73" s="685">
        <v>13.676</v>
      </c>
      <c r="G73" s="685">
        <v>22.08</v>
      </c>
      <c r="H73" s="685">
        <v>9.8870000000000005</v>
      </c>
      <c r="J73" s="521"/>
      <c r="K73" s="521">
        <v>14</v>
      </c>
      <c r="L73" s="685">
        <v>-8.1479999999999997</v>
      </c>
      <c r="M73" s="685">
        <v>-23.105</v>
      </c>
      <c r="N73" s="685"/>
      <c r="O73" s="685">
        <v>-311.40300000000002</v>
      </c>
      <c r="P73" s="685">
        <v>-16.728000000000002</v>
      </c>
      <c r="Q73" s="685">
        <v>-4.7220000000000004</v>
      </c>
    </row>
    <row r="74" spans="1:17" ht="15.95" customHeight="1">
      <c r="A74" s="881"/>
      <c r="B74" s="881">
        <v>15</v>
      </c>
      <c r="C74" s="882">
        <v>56.075000000000003</v>
      </c>
      <c r="D74" s="882">
        <v>153.50200000000001</v>
      </c>
      <c r="E74" s="882"/>
      <c r="F74" s="882">
        <v>46.317999999999998</v>
      </c>
      <c r="G74" s="882">
        <v>0</v>
      </c>
      <c r="H74" s="882">
        <v>12.913</v>
      </c>
      <c r="I74" s="885"/>
      <c r="J74" s="881"/>
      <c r="K74" s="881">
        <v>15</v>
      </c>
      <c r="L74" s="882">
        <v>-93.507999999999996</v>
      </c>
      <c r="M74" s="882">
        <v>-4.5549999999999997</v>
      </c>
      <c r="N74" s="882"/>
      <c r="O74" s="882">
        <v>-189.40600000000001</v>
      </c>
      <c r="P74" s="882">
        <v>-3.0000000000000001E-3</v>
      </c>
      <c r="Q74" s="882">
        <v>-12.223000000000001</v>
      </c>
    </row>
    <row r="75" spans="1:17" ht="15.95" customHeight="1">
      <c r="A75" s="521"/>
      <c r="B75" s="521">
        <v>16</v>
      </c>
      <c r="C75" s="685">
        <v>6.8879999999999999</v>
      </c>
      <c r="D75" s="685">
        <v>167.751</v>
      </c>
      <c r="E75" s="685"/>
      <c r="F75" s="685">
        <v>44.704999999999998</v>
      </c>
      <c r="G75" s="685">
        <v>0</v>
      </c>
      <c r="H75" s="685">
        <v>5.6849999999999996</v>
      </c>
      <c r="J75" s="521"/>
      <c r="K75" s="521">
        <v>16</v>
      </c>
      <c r="L75" s="685">
        <v>-182.38499999999999</v>
      </c>
      <c r="M75" s="685">
        <v>-4.3380000000000001</v>
      </c>
      <c r="N75" s="685"/>
      <c r="O75" s="685">
        <v>-243.48099999999999</v>
      </c>
      <c r="P75" s="685">
        <v>0</v>
      </c>
      <c r="Q75" s="685">
        <v>-36.067</v>
      </c>
    </row>
    <row r="76" spans="1:17" ht="15.95" customHeight="1">
      <c r="A76" s="881"/>
      <c r="B76" s="881">
        <v>17</v>
      </c>
      <c r="C76" s="882">
        <v>4.8470000000000004</v>
      </c>
      <c r="D76" s="882">
        <v>165.864</v>
      </c>
      <c r="E76" s="882"/>
      <c r="F76" s="882">
        <v>10.521000000000001</v>
      </c>
      <c r="G76" s="882">
        <v>0</v>
      </c>
      <c r="H76" s="882">
        <v>0.879</v>
      </c>
      <c r="I76" s="885"/>
      <c r="J76" s="881"/>
      <c r="K76" s="881">
        <v>17</v>
      </c>
      <c r="L76" s="882">
        <v>-118.075</v>
      </c>
      <c r="M76" s="882">
        <v>-4.6589999999999998</v>
      </c>
      <c r="N76" s="882"/>
      <c r="O76" s="882">
        <v>-293.85000000000002</v>
      </c>
      <c r="P76" s="882">
        <v>0</v>
      </c>
      <c r="Q76" s="882">
        <v>-36.905999999999999</v>
      </c>
    </row>
    <row r="77" spans="1:17" ht="15.95" customHeight="1">
      <c r="A77" s="521"/>
      <c r="B77" s="521">
        <v>18</v>
      </c>
      <c r="C77" s="685">
        <v>34.414000000000001</v>
      </c>
      <c r="D77" s="685">
        <v>147.93100000000001</v>
      </c>
      <c r="E77" s="685"/>
      <c r="F77" s="685">
        <v>20.173999999999999</v>
      </c>
      <c r="G77" s="685">
        <v>0</v>
      </c>
      <c r="H77" s="685">
        <v>20.087</v>
      </c>
      <c r="J77" s="521"/>
      <c r="K77" s="521">
        <v>18</v>
      </c>
      <c r="L77" s="685">
        <v>-66.691000000000003</v>
      </c>
      <c r="M77" s="685">
        <v>-10.201000000000001</v>
      </c>
      <c r="N77" s="685"/>
      <c r="O77" s="685">
        <v>-206.07499999999999</v>
      </c>
      <c r="P77" s="685">
        <v>-1.2999999999999999E-2</v>
      </c>
      <c r="Q77" s="685">
        <v>-3.371</v>
      </c>
    </row>
    <row r="78" spans="1:17" ht="15.95" customHeight="1">
      <c r="A78" s="881"/>
      <c r="B78" s="881">
        <v>19</v>
      </c>
      <c r="C78" s="882">
        <v>20.738</v>
      </c>
      <c r="D78" s="882">
        <v>87.929000000000002</v>
      </c>
      <c r="E78" s="882"/>
      <c r="F78" s="882">
        <v>76.123999999999995</v>
      </c>
      <c r="G78" s="882">
        <v>0</v>
      </c>
      <c r="H78" s="882">
        <v>16.027999999999999</v>
      </c>
      <c r="I78" s="885"/>
      <c r="J78" s="881"/>
      <c r="K78" s="881">
        <v>19</v>
      </c>
      <c r="L78" s="882">
        <v>-69.498999999999995</v>
      </c>
      <c r="M78" s="882">
        <v>-15.981999999999999</v>
      </c>
      <c r="N78" s="882"/>
      <c r="O78" s="882">
        <v>-107.003</v>
      </c>
      <c r="P78" s="882">
        <v>0</v>
      </c>
      <c r="Q78" s="882">
        <v>-29.087</v>
      </c>
    </row>
    <row r="79" spans="1:17" ht="15.95" customHeight="1">
      <c r="A79" s="521"/>
      <c r="B79" s="521">
        <v>20</v>
      </c>
      <c r="C79" s="685">
        <v>13.656000000000001</v>
      </c>
      <c r="D79" s="685">
        <v>76.650000000000006</v>
      </c>
      <c r="E79" s="685"/>
      <c r="F79" s="685">
        <v>37.429000000000002</v>
      </c>
      <c r="G79" s="685">
        <v>0</v>
      </c>
      <c r="H79" s="685">
        <v>6.3730000000000002</v>
      </c>
      <c r="J79" s="521"/>
      <c r="K79" s="521">
        <v>20</v>
      </c>
      <c r="L79" s="685">
        <v>-110.215</v>
      </c>
      <c r="M79" s="685">
        <v>-13.962</v>
      </c>
      <c r="N79" s="685"/>
      <c r="O79" s="685">
        <v>-115.393</v>
      </c>
      <c r="P79" s="685">
        <v>-1E-3</v>
      </c>
      <c r="Q79" s="685">
        <v>-29.463000000000001</v>
      </c>
    </row>
    <row r="80" spans="1:17" ht="15.95" customHeight="1">
      <c r="A80" s="881"/>
      <c r="B80" s="881">
        <v>21</v>
      </c>
      <c r="C80" s="882">
        <v>33.439</v>
      </c>
      <c r="D80" s="882">
        <v>82.572999999999993</v>
      </c>
      <c r="E80" s="882"/>
      <c r="F80" s="882">
        <v>36.484999999999999</v>
      </c>
      <c r="G80" s="882">
        <v>9.1210000000000004</v>
      </c>
      <c r="H80" s="882">
        <v>6.524</v>
      </c>
      <c r="I80" s="885"/>
      <c r="J80" s="881"/>
      <c r="K80" s="881">
        <v>21</v>
      </c>
      <c r="L80" s="882">
        <v>-64.893000000000001</v>
      </c>
      <c r="M80" s="882">
        <v>-16.873999999999999</v>
      </c>
      <c r="N80" s="882"/>
      <c r="O80" s="882">
        <v>-117.82599999999999</v>
      </c>
      <c r="P80" s="882">
        <v>-10.202999999999999</v>
      </c>
      <c r="Q80" s="882">
        <v>-37.758000000000003</v>
      </c>
    </row>
    <row r="81" spans="1:17" ht="15.95" customHeight="1">
      <c r="A81" s="521"/>
      <c r="B81" s="521">
        <v>22</v>
      </c>
      <c r="C81" s="685">
        <v>16.806000000000001</v>
      </c>
      <c r="D81" s="685">
        <v>36.125</v>
      </c>
      <c r="E81" s="685"/>
      <c r="F81" s="685">
        <v>134.38</v>
      </c>
      <c r="G81" s="685">
        <v>31.152000000000001</v>
      </c>
      <c r="H81" s="685">
        <v>6.8890000000000002</v>
      </c>
      <c r="J81" s="521"/>
      <c r="K81" s="521">
        <v>22</v>
      </c>
      <c r="L81" s="685">
        <v>-100.752</v>
      </c>
      <c r="M81" s="685">
        <v>-37.823</v>
      </c>
      <c r="N81" s="685"/>
      <c r="O81" s="685">
        <v>-68.525000000000006</v>
      </c>
      <c r="P81" s="685">
        <v>-38.793999999999997</v>
      </c>
      <c r="Q81" s="685">
        <v>-25.734999999999999</v>
      </c>
    </row>
    <row r="82" spans="1:17" ht="15.95" customHeight="1">
      <c r="A82" s="881"/>
      <c r="B82" s="881">
        <v>23</v>
      </c>
      <c r="C82" s="882">
        <v>4.6130000000000004</v>
      </c>
      <c r="D82" s="882">
        <v>30.591999999999999</v>
      </c>
      <c r="E82" s="882"/>
      <c r="F82" s="882">
        <v>206.15299999999999</v>
      </c>
      <c r="G82" s="882">
        <v>2.093</v>
      </c>
      <c r="H82" s="882">
        <v>2.5539999999999998</v>
      </c>
      <c r="I82" s="885"/>
      <c r="J82" s="881"/>
      <c r="K82" s="881">
        <v>23</v>
      </c>
      <c r="L82" s="882">
        <v>-172.53100000000001</v>
      </c>
      <c r="M82" s="882">
        <v>-82.712999999999994</v>
      </c>
      <c r="N82" s="882"/>
      <c r="O82" s="882">
        <v>-12.266999999999999</v>
      </c>
      <c r="P82" s="882">
        <v>-68.022999999999996</v>
      </c>
      <c r="Q82" s="882">
        <v>-31.805</v>
      </c>
    </row>
    <row r="83" spans="1:17" ht="15.95" customHeight="1">
      <c r="A83" s="521"/>
      <c r="B83" s="521">
        <v>24</v>
      </c>
      <c r="C83" s="685">
        <v>12.897</v>
      </c>
      <c r="D83" s="685">
        <v>24.262</v>
      </c>
      <c r="E83" s="685"/>
      <c r="F83" s="685">
        <v>188.798</v>
      </c>
      <c r="G83" s="685">
        <v>8.4770000000000003</v>
      </c>
      <c r="H83" s="685">
        <v>1.821</v>
      </c>
      <c r="J83" s="521"/>
      <c r="K83" s="521">
        <v>24</v>
      </c>
      <c r="L83" s="685">
        <v>-163.517</v>
      </c>
      <c r="M83" s="685">
        <v>-66.361999999999995</v>
      </c>
      <c r="N83" s="685"/>
      <c r="O83" s="685">
        <v>-33.640999999999998</v>
      </c>
      <c r="P83" s="685">
        <v>-49.973999999999997</v>
      </c>
      <c r="Q83" s="685">
        <v>-32.930999999999997</v>
      </c>
    </row>
    <row r="84" spans="1:17" ht="15.95" customHeight="1">
      <c r="A84" s="881"/>
      <c r="B84" s="881">
        <v>25</v>
      </c>
      <c r="C84" s="882">
        <v>8.3889999999999993</v>
      </c>
      <c r="D84" s="882">
        <v>138.571</v>
      </c>
      <c r="E84" s="882"/>
      <c r="F84" s="882">
        <v>112.384</v>
      </c>
      <c r="G84" s="882">
        <v>4.2300000000000004</v>
      </c>
      <c r="H84" s="882">
        <v>0.24399999999999999</v>
      </c>
      <c r="I84" s="885"/>
      <c r="J84" s="881"/>
      <c r="K84" s="881">
        <v>25</v>
      </c>
      <c r="L84" s="882">
        <v>-232.10300000000001</v>
      </c>
      <c r="M84" s="882">
        <v>-22.196000000000002</v>
      </c>
      <c r="N84" s="882"/>
      <c r="O84" s="882">
        <v>-132.631</v>
      </c>
      <c r="P84" s="882">
        <v>-73.971999999999994</v>
      </c>
      <c r="Q84" s="882">
        <v>-53.722000000000001</v>
      </c>
    </row>
    <row r="85" spans="1:17" ht="15.95" customHeight="1">
      <c r="A85" s="521"/>
      <c r="B85" s="521">
        <v>26</v>
      </c>
      <c r="C85" s="685">
        <v>3.298</v>
      </c>
      <c r="D85" s="685">
        <v>9.51</v>
      </c>
      <c r="E85" s="685"/>
      <c r="F85" s="685">
        <v>269.33100000000002</v>
      </c>
      <c r="G85" s="685">
        <v>0</v>
      </c>
      <c r="H85" s="685">
        <v>0.39900000000000002</v>
      </c>
      <c r="J85" s="521"/>
      <c r="K85" s="521">
        <v>26</v>
      </c>
      <c r="L85" s="685">
        <v>-212.52199999999999</v>
      </c>
      <c r="M85" s="685">
        <v>-159.77699999999999</v>
      </c>
      <c r="N85" s="685"/>
      <c r="O85" s="685">
        <v>-29.635999999999999</v>
      </c>
      <c r="P85" s="685">
        <v>-76.917000000000002</v>
      </c>
      <c r="Q85" s="685">
        <v>-63.725000000000001</v>
      </c>
    </row>
    <row r="86" spans="1:17" ht="15.95" customHeight="1">
      <c r="A86" s="881"/>
      <c r="B86" s="881">
        <v>27</v>
      </c>
      <c r="C86" s="882">
        <v>2.5000000000000001E-2</v>
      </c>
      <c r="D86" s="882">
        <v>3.7709999999999999</v>
      </c>
      <c r="E86" s="882"/>
      <c r="F86" s="882">
        <v>356.92200000000003</v>
      </c>
      <c r="G86" s="882">
        <v>0</v>
      </c>
      <c r="H86" s="882">
        <v>0.85299999999999998</v>
      </c>
      <c r="I86" s="885"/>
      <c r="J86" s="881"/>
      <c r="K86" s="881">
        <v>27</v>
      </c>
      <c r="L86" s="882">
        <v>-167.946</v>
      </c>
      <c r="M86" s="882">
        <v>-183.577</v>
      </c>
      <c r="N86" s="882"/>
      <c r="O86" s="882">
        <v>-5.8940000000000001</v>
      </c>
      <c r="P86" s="882">
        <v>-86.575000000000003</v>
      </c>
      <c r="Q86" s="882">
        <v>-51.462000000000003</v>
      </c>
    </row>
    <row r="87" spans="1:17" ht="15.95" customHeight="1">
      <c r="A87" s="521"/>
      <c r="B87" s="521">
        <v>28</v>
      </c>
      <c r="C87" s="685">
        <v>15.557</v>
      </c>
      <c r="D87" s="685">
        <v>3.3460000000000001</v>
      </c>
      <c r="E87" s="685"/>
      <c r="F87" s="685">
        <v>329.74</v>
      </c>
      <c r="G87" s="685">
        <v>3.2280000000000002</v>
      </c>
      <c r="H87" s="685">
        <v>0.20200000000000001</v>
      </c>
      <c r="J87" s="521"/>
      <c r="K87" s="521">
        <v>28</v>
      </c>
      <c r="L87" s="685">
        <v>-167.255</v>
      </c>
      <c r="M87" s="685">
        <v>-256.21899999999999</v>
      </c>
      <c r="N87" s="685"/>
      <c r="O87" s="685">
        <v>-14.606999999999999</v>
      </c>
      <c r="P87" s="685">
        <v>-76.563999999999993</v>
      </c>
      <c r="Q87" s="685">
        <v>-63.780999999999999</v>
      </c>
    </row>
    <row r="88" spans="1:17" ht="15.95" customHeight="1">
      <c r="A88" s="881"/>
      <c r="B88" s="881">
        <v>29</v>
      </c>
      <c r="C88" s="882">
        <v>2.589</v>
      </c>
      <c r="D88" s="882">
        <v>1.9370000000000001</v>
      </c>
      <c r="E88" s="882"/>
      <c r="F88" s="882">
        <v>299.154</v>
      </c>
      <c r="G88" s="882">
        <v>5.4349999999999996</v>
      </c>
      <c r="H88" s="882">
        <v>0.66600000000000004</v>
      </c>
      <c r="I88" s="885"/>
      <c r="J88" s="881"/>
      <c r="K88" s="881">
        <v>29</v>
      </c>
      <c r="L88" s="882">
        <v>-72.021000000000001</v>
      </c>
      <c r="M88" s="882">
        <v>-279.90600000000001</v>
      </c>
      <c r="N88" s="882"/>
      <c r="O88" s="882">
        <v>-22.507000000000001</v>
      </c>
      <c r="P88" s="882">
        <v>-70.064999999999998</v>
      </c>
      <c r="Q88" s="882">
        <v>-69.379000000000005</v>
      </c>
    </row>
    <row r="89" spans="1:17" ht="15.95" customHeight="1">
      <c r="A89" s="521"/>
      <c r="B89" s="521">
        <v>30</v>
      </c>
      <c r="C89" s="685">
        <v>4.782</v>
      </c>
      <c r="D89" s="685">
        <v>2.0459999999999998</v>
      </c>
      <c r="E89" s="685"/>
      <c r="F89" s="685">
        <v>293.30799999999999</v>
      </c>
      <c r="G89" s="685">
        <v>0.51200000000000001</v>
      </c>
      <c r="H89" s="685">
        <v>0</v>
      </c>
      <c r="J89" s="521"/>
      <c r="K89" s="521">
        <v>30</v>
      </c>
      <c r="L89" s="685">
        <v>-123.727</v>
      </c>
      <c r="M89" s="685">
        <v>-299.27</v>
      </c>
      <c r="N89" s="685"/>
      <c r="O89" s="685">
        <v>-19.510999999999999</v>
      </c>
      <c r="P89" s="685">
        <v>-39.790999999999997</v>
      </c>
      <c r="Q89" s="685">
        <v>-34.384999999999998</v>
      </c>
    </row>
    <row r="90" spans="1:17" ht="15.95" customHeight="1">
      <c r="A90" s="881"/>
      <c r="B90" s="881">
        <v>31</v>
      </c>
      <c r="C90" s="882">
        <v>3.2469999999999999</v>
      </c>
      <c r="D90" s="882">
        <v>2.4820000000000002</v>
      </c>
      <c r="E90" s="882"/>
      <c r="F90" s="882">
        <v>231.375</v>
      </c>
      <c r="G90" s="882">
        <v>1.7450000000000001</v>
      </c>
      <c r="H90" s="882">
        <v>0.19800000000000001</v>
      </c>
      <c r="I90" s="885"/>
      <c r="J90" s="881"/>
      <c r="K90" s="881">
        <v>31</v>
      </c>
      <c r="L90" s="882">
        <v>-57.122999999999998</v>
      </c>
      <c r="M90" s="882">
        <v>-249.96899999999999</v>
      </c>
      <c r="N90" s="882"/>
      <c r="O90" s="882">
        <v>-11.182</v>
      </c>
      <c r="P90" s="882">
        <v>-76.41</v>
      </c>
      <c r="Q90" s="882">
        <v>-59.912999999999997</v>
      </c>
    </row>
    <row r="91" spans="1:17" ht="15.95" customHeight="1">
      <c r="A91" s="521"/>
      <c r="B91" s="521">
        <v>32</v>
      </c>
      <c r="C91" s="685">
        <v>5.9390000000000001</v>
      </c>
      <c r="D91" s="685">
        <v>1.821</v>
      </c>
      <c r="E91" s="685"/>
      <c r="F91" s="685">
        <v>224.12200000000001</v>
      </c>
      <c r="G91" s="685">
        <v>1.865</v>
      </c>
      <c r="H91" s="685">
        <v>0.185</v>
      </c>
      <c r="J91" s="521"/>
      <c r="K91" s="521">
        <v>32</v>
      </c>
      <c r="L91" s="685">
        <v>-132.57</v>
      </c>
      <c r="M91" s="685">
        <v>-236.76599999999999</v>
      </c>
      <c r="N91" s="685"/>
      <c r="O91" s="685">
        <v>-29.271000000000001</v>
      </c>
      <c r="P91" s="685">
        <v>-69.650999999999996</v>
      </c>
      <c r="Q91" s="685">
        <v>-57.673000000000002</v>
      </c>
    </row>
    <row r="92" spans="1:17" ht="15.95" customHeight="1">
      <c r="A92" s="881"/>
      <c r="B92" s="881">
        <v>33</v>
      </c>
      <c r="C92" s="882">
        <v>2.2930000000000001</v>
      </c>
      <c r="D92" s="882">
        <v>1.9279999999999999</v>
      </c>
      <c r="E92" s="882"/>
      <c r="F92" s="882">
        <v>347.149</v>
      </c>
      <c r="G92" s="882">
        <v>0</v>
      </c>
      <c r="H92" s="882">
        <v>0.63700000000000001</v>
      </c>
      <c r="I92" s="885"/>
      <c r="J92" s="881"/>
      <c r="K92" s="881">
        <v>33</v>
      </c>
      <c r="L92" s="882">
        <v>-195.51499999999999</v>
      </c>
      <c r="M92" s="882">
        <v>-294.78300000000002</v>
      </c>
      <c r="N92" s="882"/>
      <c r="O92" s="882">
        <v>-14.772</v>
      </c>
      <c r="P92" s="882">
        <v>-71.34</v>
      </c>
      <c r="Q92" s="882">
        <v>-41.396999999999998</v>
      </c>
    </row>
    <row r="93" spans="1:17" ht="15.95" customHeight="1">
      <c r="A93" s="521"/>
      <c r="B93" s="521">
        <v>34</v>
      </c>
      <c r="C93" s="685">
        <v>13.414</v>
      </c>
      <c r="D93" s="685">
        <v>2.871</v>
      </c>
      <c r="E93" s="685"/>
      <c r="F93" s="685">
        <v>231.92699999999999</v>
      </c>
      <c r="G93" s="685">
        <v>5.0190000000000001</v>
      </c>
      <c r="H93" s="685">
        <v>0.39200000000000002</v>
      </c>
      <c r="J93" s="521"/>
      <c r="K93" s="521">
        <v>34</v>
      </c>
      <c r="L93" s="685">
        <v>-183.43100000000001</v>
      </c>
      <c r="M93" s="685">
        <v>-201.143</v>
      </c>
      <c r="N93" s="685"/>
      <c r="O93" s="685">
        <v>-41.668999999999997</v>
      </c>
      <c r="P93" s="685">
        <v>-64.03</v>
      </c>
      <c r="Q93" s="685">
        <v>-42.97</v>
      </c>
    </row>
    <row r="94" spans="1:17" ht="15.95" customHeight="1">
      <c r="A94" s="881"/>
      <c r="B94" s="881">
        <v>35</v>
      </c>
      <c r="C94" s="882">
        <v>3.0739999999999998</v>
      </c>
      <c r="D94" s="882">
        <v>6.4139999999999997</v>
      </c>
      <c r="E94" s="882"/>
      <c r="F94" s="882">
        <v>225.399</v>
      </c>
      <c r="G94" s="882">
        <v>0</v>
      </c>
      <c r="H94" s="882">
        <v>2.1779999999999999</v>
      </c>
      <c r="I94" s="885"/>
      <c r="J94" s="881"/>
      <c r="K94" s="881">
        <v>35</v>
      </c>
      <c r="L94" s="882">
        <v>-175.24700000000001</v>
      </c>
      <c r="M94" s="882">
        <v>-143.417</v>
      </c>
      <c r="N94" s="882"/>
      <c r="O94" s="882">
        <v>-29.757999999999999</v>
      </c>
      <c r="P94" s="882">
        <v>-53.595999999999997</v>
      </c>
      <c r="Q94" s="882">
        <v>-34.975999999999999</v>
      </c>
    </row>
    <row r="95" spans="1:17" ht="15.95" customHeight="1">
      <c r="A95" s="521"/>
      <c r="B95" s="521">
        <v>36</v>
      </c>
      <c r="C95" s="685">
        <v>5.6020000000000003</v>
      </c>
      <c r="D95" s="685">
        <v>3.0419999999999998</v>
      </c>
      <c r="E95" s="685"/>
      <c r="F95" s="685">
        <v>107.733</v>
      </c>
      <c r="G95" s="685">
        <v>0</v>
      </c>
      <c r="H95" s="685">
        <v>0.64500000000000002</v>
      </c>
      <c r="J95" s="521"/>
      <c r="K95" s="521">
        <v>36</v>
      </c>
      <c r="L95" s="685">
        <v>-223.929</v>
      </c>
      <c r="M95" s="685">
        <v>-204.43</v>
      </c>
      <c r="N95" s="685"/>
      <c r="O95" s="685">
        <v>-38.222999999999999</v>
      </c>
      <c r="P95" s="685">
        <v>-75.088999999999999</v>
      </c>
      <c r="Q95" s="685">
        <v>-53.621000000000002</v>
      </c>
    </row>
    <row r="96" spans="1:17" ht="15.95" customHeight="1">
      <c r="A96" s="881"/>
      <c r="B96" s="881">
        <v>37</v>
      </c>
      <c r="C96" s="882">
        <v>1.4910000000000001</v>
      </c>
      <c r="D96" s="882">
        <v>1.589</v>
      </c>
      <c r="E96" s="882"/>
      <c r="F96" s="882">
        <v>183.60499999999999</v>
      </c>
      <c r="G96" s="882">
        <v>0</v>
      </c>
      <c r="H96" s="882">
        <v>0</v>
      </c>
      <c r="I96" s="885"/>
      <c r="J96" s="881"/>
      <c r="K96" s="881">
        <v>37</v>
      </c>
      <c r="L96" s="882">
        <v>-192.46100000000001</v>
      </c>
      <c r="M96" s="882">
        <v>-258.99099999999999</v>
      </c>
      <c r="N96" s="882"/>
      <c r="O96" s="882">
        <v>-136.67699999999999</v>
      </c>
      <c r="P96" s="882">
        <v>-47.713999999999999</v>
      </c>
      <c r="Q96" s="882">
        <v>-35.683999999999997</v>
      </c>
    </row>
    <row r="97" spans="1:17" ht="15.95" customHeight="1">
      <c r="A97" s="521"/>
      <c r="B97" s="521">
        <v>38</v>
      </c>
      <c r="C97" s="685">
        <v>0.70699999999999996</v>
      </c>
      <c r="D97" s="685">
        <v>3.5590000000000002</v>
      </c>
      <c r="E97" s="685"/>
      <c r="F97" s="685">
        <v>160.583</v>
      </c>
      <c r="G97" s="685">
        <v>0</v>
      </c>
      <c r="H97" s="685">
        <v>0</v>
      </c>
      <c r="J97" s="521"/>
      <c r="K97" s="521">
        <v>38</v>
      </c>
      <c r="L97" s="685">
        <v>-175.18199999999999</v>
      </c>
      <c r="M97" s="685">
        <v>-256.81799999999998</v>
      </c>
      <c r="N97" s="685"/>
      <c r="O97" s="685">
        <v>-82.412000000000006</v>
      </c>
      <c r="P97" s="685">
        <v>-48.426000000000002</v>
      </c>
      <c r="Q97" s="685">
        <v>-35.066000000000003</v>
      </c>
    </row>
    <row r="98" spans="1:17" ht="15.95" customHeight="1">
      <c r="A98" s="881"/>
      <c r="B98" s="881">
        <v>39</v>
      </c>
      <c r="C98" s="882">
        <v>0.57799999999999996</v>
      </c>
      <c r="D98" s="882">
        <v>4.4329999999999998</v>
      </c>
      <c r="E98" s="882"/>
      <c r="F98" s="882">
        <v>143.87899999999999</v>
      </c>
      <c r="G98" s="882">
        <v>0</v>
      </c>
      <c r="H98" s="882">
        <v>0</v>
      </c>
      <c r="I98" s="885"/>
      <c r="J98" s="881"/>
      <c r="K98" s="881">
        <v>39</v>
      </c>
      <c r="L98" s="882">
        <v>-88.222999999999999</v>
      </c>
      <c r="M98" s="882">
        <v>-261.51</v>
      </c>
      <c r="N98" s="882"/>
      <c r="O98" s="882">
        <v>-70.216999999999999</v>
      </c>
      <c r="P98" s="882">
        <v>-33.898000000000003</v>
      </c>
      <c r="Q98" s="882">
        <v>-22.465</v>
      </c>
    </row>
    <row r="99" spans="1:17" ht="15.95" customHeight="1">
      <c r="A99" s="521"/>
      <c r="B99" s="521">
        <v>40</v>
      </c>
      <c r="C99" s="685">
        <v>4.6929999999999996</v>
      </c>
      <c r="D99" s="685">
        <v>4.2779999999999996</v>
      </c>
      <c r="E99" s="685"/>
      <c r="F99" s="685">
        <v>101.806</v>
      </c>
      <c r="G99" s="685">
        <v>0</v>
      </c>
      <c r="H99" s="685">
        <v>0</v>
      </c>
      <c r="J99" s="521"/>
      <c r="K99" s="521">
        <v>40</v>
      </c>
      <c r="L99" s="685">
        <v>-55.277999999999999</v>
      </c>
      <c r="M99" s="685">
        <v>-260.05200000000002</v>
      </c>
      <c r="N99" s="685"/>
      <c r="O99" s="685">
        <v>-56.34</v>
      </c>
      <c r="P99" s="685">
        <v>-29.945</v>
      </c>
      <c r="Q99" s="685">
        <v>-17.571999999999999</v>
      </c>
    </row>
    <row r="100" spans="1:17" ht="15.95" customHeight="1">
      <c r="A100" s="881"/>
      <c r="B100" s="881">
        <v>41</v>
      </c>
      <c r="C100" s="882">
        <v>11.472</v>
      </c>
      <c r="D100" s="882">
        <v>8.1359999999999992</v>
      </c>
      <c r="E100" s="882"/>
      <c r="F100" s="882">
        <v>233.239</v>
      </c>
      <c r="G100" s="882">
        <v>3.9129999999999998</v>
      </c>
      <c r="H100" s="882">
        <v>0</v>
      </c>
      <c r="I100" s="885"/>
      <c r="J100" s="881"/>
      <c r="K100" s="881">
        <v>41</v>
      </c>
      <c r="L100" s="882">
        <v>-59.043999999999997</v>
      </c>
      <c r="M100" s="882">
        <v>-212.501</v>
      </c>
      <c r="N100" s="882"/>
      <c r="O100" s="882">
        <v>-16.696999999999999</v>
      </c>
      <c r="P100" s="882">
        <v>-24.59</v>
      </c>
      <c r="Q100" s="882">
        <v>-0.41199999999999998</v>
      </c>
    </row>
    <row r="101" spans="1:17" ht="15.95" customHeight="1">
      <c r="A101" s="521"/>
      <c r="B101" s="521">
        <v>42</v>
      </c>
      <c r="C101" s="685">
        <v>16.545000000000002</v>
      </c>
      <c r="D101" s="685">
        <v>25.207000000000001</v>
      </c>
      <c r="E101" s="685"/>
      <c r="F101" s="685">
        <v>189.30699999999999</v>
      </c>
      <c r="G101" s="685">
        <v>1.8069999999999999</v>
      </c>
      <c r="H101" s="685">
        <v>0</v>
      </c>
      <c r="J101" s="521"/>
      <c r="K101" s="521">
        <v>42</v>
      </c>
      <c r="L101" s="685">
        <v>-90.552999999999997</v>
      </c>
      <c r="M101" s="685">
        <v>-121.253</v>
      </c>
      <c r="N101" s="685"/>
      <c r="O101" s="685">
        <v>-61.262</v>
      </c>
      <c r="P101" s="685">
        <v>-37.58</v>
      </c>
      <c r="Q101" s="685">
        <v>0</v>
      </c>
    </row>
    <row r="102" spans="1:17" ht="15.95" customHeight="1">
      <c r="A102" s="881"/>
      <c r="B102" s="881">
        <v>43</v>
      </c>
      <c r="C102" s="882">
        <v>13.967000000000001</v>
      </c>
      <c r="D102" s="882">
        <v>18.440000000000001</v>
      </c>
      <c r="E102" s="882"/>
      <c r="F102" s="882">
        <v>247.95599999999999</v>
      </c>
      <c r="G102" s="882">
        <v>3.601</v>
      </c>
      <c r="H102" s="882">
        <v>0</v>
      </c>
      <c r="I102" s="885"/>
      <c r="J102" s="881"/>
      <c r="K102" s="881">
        <v>43</v>
      </c>
      <c r="L102" s="882">
        <v>-120.241</v>
      </c>
      <c r="M102" s="882">
        <v>-163.70699999999999</v>
      </c>
      <c r="N102" s="882"/>
      <c r="O102" s="882">
        <v>-43.892000000000003</v>
      </c>
      <c r="P102" s="882">
        <v>-55.121000000000002</v>
      </c>
      <c r="Q102" s="882">
        <v>-16.616</v>
      </c>
    </row>
    <row r="103" spans="1:17" ht="15.95" customHeight="1">
      <c r="A103" s="521"/>
      <c r="B103" s="521">
        <v>44</v>
      </c>
      <c r="C103" s="685">
        <v>7.0629999999999997</v>
      </c>
      <c r="D103" s="685">
        <v>29.783999999999999</v>
      </c>
      <c r="E103" s="685"/>
      <c r="F103" s="685">
        <v>327.60599999999999</v>
      </c>
      <c r="G103" s="685">
        <v>0</v>
      </c>
      <c r="H103" s="685">
        <v>0.20499999999999999</v>
      </c>
      <c r="J103" s="521"/>
      <c r="K103" s="521">
        <v>44</v>
      </c>
      <c r="L103" s="685">
        <v>-145.28800000000001</v>
      </c>
      <c r="M103" s="685">
        <v>-110.11499999999999</v>
      </c>
      <c r="N103" s="685"/>
      <c r="O103" s="685">
        <v>-13.766999999999999</v>
      </c>
      <c r="P103" s="685">
        <v>-64.28</v>
      </c>
      <c r="Q103" s="685">
        <v>-42.222000000000001</v>
      </c>
    </row>
    <row r="104" spans="1:17" ht="15.95" customHeight="1">
      <c r="A104" s="881"/>
      <c r="B104" s="881">
        <v>45</v>
      </c>
      <c r="C104" s="882">
        <v>21.684000000000001</v>
      </c>
      <c r="D104" s="882">
        <v>69.555999999999997</v>
      </c>
      <c r="E104" s="882"/>
      <c r="F104" s="882">
        <v>274.75700000000001</v>
      </c>
      <c r="G104" s="882">
        <v>5.181</v>
      </c>
      <c r="H104" s="882">
        <v>0.99299999999999999</v>
      </c>
      <c r="I104" s="885"/>
      <c r="J104" s="881"/>
      <c r="K104" s="881">
        <v>45</v>
      </c>
      <c r="L104" s="882">
        <v>-75.566000000000003</v>
      </c>
      <c r="M104" s="882">
        <v>-132.49100000000001</v>
      </c>
      <c r="N104" s="882"/>
      <c r="O104" s="882">
        <v>-22.942</v>
      </c>
      <c r="P104" s="882">
        <v>-74.536000000000001</v>
      </c>
      <c r="Q104" s="882">
        <v>-33.625</v>
      </c>
    </row>
    <row r="105" spans="1:17" ht="15.95" customHeight="1">
      <c r="A105" s="521"/>
      <c r="B105" s="521">
        <v>46</v>
      </c>
      <c r="C105" s="685">
        <v>20.465</v>
      </c>
      <c r="D105" s="685">
        <v>149.197</v>
      </c>
      <c r="E105" s="685"/>
      <c r="F105" s="685">
        <v>249.57599999999999</v>
      </c>
      <c r="G105" s="685">
        <v>0.2</v>
      </c>
      <c r="H105" s="685">
        <v>2.895</v>
      </c>
      <c r="J105" s="521"/>
      <c r="K105" s="521">
        <v>46</v>
      </c>
      <c r="L105" s="685">
        <v>-103.98699999999999</v>
      </c>
      <c r="M105" s="685">
        <v>-174.934</v>
      </c>
      <c r="N105" s="685"/>
      <c r="O105" s="685">
        <v>-29.405999999999999</v>
      </c>
      <c r="P105" s="685">
        <v>-71.572999999999993</v>
      </c>
      <c r="Q105" s="685">
        <v>-22.617999999999999</v>
      </c>
    </row>
    <row r="106" spans="1:17" ht="15.95" customHeight="1">
      <c r="A106" s="881"/>
      <c r="B106" s="881">
        <v>47</v>
      </c>
      <c r="C106" s="882">
        <v>31.721</v>
      </c>
      <c r="D106" s="882">
        <v>71.418000000000006</v>
      </c>
      <c r="E106" s="882"/>
      <c r="F106" s="882">
        <v>201.833</v>
      </c>
      <c r="G106" s="882">
        <v>0.61399999999999999</v>
      </c>
      <c r="H106" s="882">
        <v>2.65</v>
      </c>
      <c r="I106" s="885"/>
      <c r="J106" s="881"/>
      <c r="K106" s="881">
        <v>47</v>
      </c>
      <c r="L106" s="882">
        <v>-76.34</v>
      </c>
      <c r="M106" s="882">
        <v>-208.47200000000001</v>
      </c>
      <c r="N106" s="882"/>
      <c r="O106" s="882">
        <v>-61.707000000000001</v>
      </c>
      <c r="P106" s="882">
        <v>-92.391999999999996</v>
      </c>
      <c r="Q106" s="882">
        <v>-43.527999999999999</v>
      </c>
    </row>
    <row r="107" spans="1:17" ht="15.95" customHeight="1">
      <c r="A107" s="521"/>
      <c r="B107" s="521">
        <v>48</v>
      </c>
      <c r="C107" s="685">
        <v>22.393999999999998</v>
      </c>
      <c r="D107" s="685">
        <v>63.436</v>
      </c>
      <c r="E107" s="685"/>
      <c r="F107" s="685">
        <v>200.37299999999999</v>
      </c>
      <c r="G107" s="685">
        <v>0.84499999999999997</v>
      </c>
      <c r="H107" s="685">
        <v>0.23</v>
      </c>
      <c r="J107" s="521"/>
      <c r="K107" s="521">
        <v>48</v>
      </c>
      <c r="L107" s="685">
        <v>-90.527000000000001</v>
      </c>
      <c r="M107" s="685">
        <v>-183.601</v>
      </c>
      <c r="N107" s="685"/>
      <c r="O107" s="685">
        <v>-41.219000000000001</v>
      </c>
      <c r="P107" s="685">
        <v>-92.018000000000001</v>
      </c>
      <c r="Q107" s="685">
        <v>-53.003999999999998</v>
      </c>
    </row>
    <row r="108" spans="1:17" ht="15.95" customHeight="1">
      <c r="A108" s="881"/>
      <c r="B108" s="881">
        <v>49</v>
      </c>
      <c r="C108" s="882">
        <v>36.25</v>
      </c>
      <c r="D108" s="882">
        <v>89.361999999999995</v>
      </c>
      <c r="E108" s="882"/>
      <c r="F108" s="882">
        <v>149.91999999999999</v>
      </c>
      <c r="G108" s="882">
        <v>3.327</v>
      </c>
      <c r="H108" s="882">
        <v>2.4260000000000002</v>
      </c>
      <c r="I108" s="885"/>
      <c r="J108" s="881"/>
      <c r="K108" s="881">
        <v>49</v>
      </c>
      <c r="L108" s="882">
        <v>-58.401000000000003</v>
      </c>
      <c r="M108" s="882">
        <v>-191.18799999999999</v>
      </c>
      <c r="N108" s="882"/>
      <c r="O108" s="882">
        <v>-83.152000000000001</v>
      </c>
      <c r="P108" s="882">
        <v>-86.89</v>
      </c>
      <c r="Q108" s="882">
        <v>-63.725000000000001</v>
      </c>
    </row>
    <row r="109" spans="1:17" ht="15.95" customHeight="1">
      <c r="A109" s="521"/>
      <c r="B109" s="521">
        <v>50</v>
      </c>
      <c r="C109" s="685">
        <v>21.957999999999998</v>
      </c>
      <c r="D109" s="685">
        <v>43.744</v>
      </c>
      <c r="E109" s="685"/>
      <c r="F109" s="685">
        <v>119.976</v>
      </c>
      <c r="G109" s="685">
        <v>5.6289999999999996</v>
      </c>
      <c r="H109" s="685">
        <v>2.0459999999999998</v>
      </c>
      <c r="J109" s="521"/>
      <c r="K109" s="521">
        <v>50</v>
      </c>
      <c r="L109" s="685">
        <v>-90.257999999999996</v>
      </c>
      <c r="M109" s="685">
        <v>-162.613</v>
      </c>
      <c r="N109" s="685"/>
      <c r="O109" s="685">
        <v>-132.791</v>
      </c>
      <c r="P109" s="685">
        <v>-83.608999999999995</v>
      </c>
      <c r="Q109" s="685">
        <v>-70.938000000000002</v>
      </c>
    </row>
    <row r="110" spans="1:17" ht="15" customHeight="1">
      <c r="A110" s="881"/>
      <c r="B110" s="881">
        <v>51</v>
      </c>
      <c r="C110" s="882">
        <v>17.218</v>
      </c>
      <c r="D110" s="882">
        <v>96.304000000000002</v>
      </c>
      <c r="E110" s="882"/>
      <c r="F110" s="882">
        <v>127.681</v>
      </c>
      <c r="G110" s="882">
        <v>5</v>
      </c>
      <c r="H110" s="882">
        <v>4.5359999999999996</v>
      </c>
      <c r="I110" s="885"/>
      <c r="J110" s="881"/>
      <c r="K110" s="881">
        <v>51</v>
      </c>
      <c r="L110" s="882">
        <v>-156.01400000000001</v>
      </c>
      <c r="M110" s="882">
        <v>-90.494</v>
      </c>
      <c r="N110" s="882"/>
      <c r="O110" s="882">
        <v>-168.72200000000001</v>
      </c>
      <c r="P110" s="882">
        <v>-84.893000000000001</v>
      </c>
      <c r="Q110" s="882">
        <v>-69.941000000000003</v>
      </c>
    </row>
    <row r="111" spans="1:17" ht="15" customHeight="1">
      <c r="A111" s="521"/>
      <c r="B111" s="521">
        <v>52</v>
      </c>
      <c r="C111" s="685">
        <v>39.701999999999998</v>
      </c>
      <c r="D111" s="685">
        <v>24.074999999999999</v>
      </c>
      <c r="E111" s="685"/>
      <c r="F111" s="685">
        <v>17.739000000000001</v>
      </c>
      <c r="G111" s="685">
        <v>12.446</v>
      </c>
      <c r="H111" s="685">
        <v>4.6050000000000004</v>
      </c>
      <c r="J111" s="521"/>
      <c r="K111" s="521">
        <v>52</v>
      </c>
      <c r="L111" s="685">
        <v>-111.01300000000001</v>
      </c>
      <c r="M111" s="685">
        <v>-167.93600000000001</v>
      </c>
      <c r="N111" s="685"/>
      <c r="O111" s="685">
        <v>-195.66900000000001</v>
      </c>
      <c r="P111" s="685">
        <v>-69.528999999999996</v>
      </c>
      <c r="Q111" s="685">
        <v>-55.646999999999998</v>
      </c>
    </row>
    <row r="112" spans="1:17" ht="15" customHeight="1">
      <c r="A112" s="881">
        <v>2012</v>
      </c>
      <c r="B112" s="881">
        <v>1</v>
      </c>
      <c r="C112" s="882">
        <v>69.363</v>
      </c>
      <c r="D112" s="882">
        <v>2.6640000000000001</v>
      </c>
      <c r="E112" s="882"/>
      <c r="F112" s="882">
        <v>203.11600000000001</v>
      </c>
      <c r="G112" s="882">
        <v>15.35</v>
      </c>
      <c r="H112" s="882">
        <v>7.4420000000000002</v>
      </c>
      <c r="I112" s="885"/>
      <c r="J112" s="881">
        <v>2012</v>
      </c>
      <c r="K112" s="881">
        <v>1</v>
      </c>
      <c r="L112" s="882">
        <v>-52.48</v>
      </c>
      <c r="M112" s="882">
        <v>-353.50599999999997</v>
      </c>
      <c r="N112" s="882"/>
      <c r="O112" s="882">
        <v>-68.171000000000006</v>
      </c>
      <c r="P112" s="882">
        <v>-56.265999999999998</v>
      </c>
      <c r="Q112" s="882">
        <v>-63.917999999999999</v>
      </c>
    </row>
    <row r="113" spans="1:17" ht="15" customHeight="1">
      <c r="A113" s="521"/>
      <c r="B113" s="521">
        <v>2</v>
      </c>
      <c r="C113" s="685">
        <v>74.459000000000003</v>
      </c>
      <c r="D113" s="685">
        <v>6.3390000000000004</v>
      </c>
      <c r="E113" s="685"/>
      <c r="F113" s="685">
        <v>324.16300000000001</v>
      </c>
      <c r="G113" s="685">
        <v>7.0629999999999997</v>
      </c>
      <c r="H113" s="685">
        <v>4.8570000000000002</v>
      </c>
      <c r="J113" s="521"/>
      <c r="K113" s="521">
        <v>2</v>
      </c>
      <c r="L113" s="685">
        <v>-67.38</v>
      </c>
      <c r="M113" s="685">
        <v>-326.88</v>
      </c>
      <c r="N113" s="685"/>
      <c r="O113" s="685">
        <v>-26.44</v>
      </c>
      <c r="P113" s="685">
        <v>-66.932000000000002</v>
      </c>
      <c r="Q113" s="685">
        <v>-59.743000000000002</v>
      </c>
    </row>
    <row r="114" spans="1:17" ht="15" customHeight="1">
      <c r="A114" s="881"/>
      <c r="B114" s="881">
        <v>3</v>
      </c>
      <c r="C114" s="882">
        <v>46.606000000000002</v>
      </c>
      <c r="D114" s="882">
        <v>10.026999999999999</v>
      </c>
      <c r="E114" s="882"/>
      <c r="F114" s="882">
        <v>305.07799999999997</v>
      </c>
      <c r="G114" s="882">
        <v>6.7610000000000001</v>
      </c>
      <c r="H114" s="882">
        <v>2.968</v>
      </c>
      <c r="I114" s="885"/>
      <c r="J114" s="881"/>
      <c r="K114" s="881">
        <v>3</v>
      </c>
      <c r="L114" s="882">
        <v>-85.304000000000002</v>
      </c>
      <c r="M114" s="882">
        <v>-248.13800000000001</v>
      </c>
      <c r="N114" s="882"/>
      <c r="O114" s="882">
        <v>-41.645000000000003</v>
      </c>
      <c r="P114" s="882">
        <v>-75.332999999999998</v>
      </c>
      <c r="Q114" s="882">
        <v>-48.158999999999999</v>
      </c>
    </row>
    <row r="115" spans="1:17" ht="15" customHeight="1">
      <c r="A115" s="521"/>
      <c r="B115" s="521">
        <v>4</v>
      </c>
      <c r="C115" s="685">
        <v>59.173999999999999</v>
      </c>
      <c r="D115" s="685">
        <v>11.433</v>
      </c>
      <c r="E115" s="685"/>
      <c r="F115" s="685">
        <v>363.31099999999998</v>
      </c>
      <c r="G115" s="685">
        <v>5.1779999999999999</v>
      </c>
      <c r="H115" s="685">
        <v>4.4809999999999999</v>
      </c>
      <c r="J115" s="521"/>
      <c r="K115" s="521">
        <v>4</v>
      </c>
      <c r="L115" s="685">
        <v>-64.459999999999994</v>
      </c>
      <c r="M115" s="685">
        <v>-270.49599999999998</v>
      </c>
      <c r="N115" s="685"/>
      <c r="O115" s="685">
        <v>-7.4729999999999999</v>
      </c>
      <c r="P115" s="685">
        <v>-70.344999999999999</v>
      </c>
      <c r="Q115" s="685">
        <v>-42.058999999999997</v>
      </c>
    </row>
    <row r="116" spans="1:17" ht="15" customHeight="1">
      <c r="A116" s="881"/>
      <c r="B116" s="881">
        <v>5</v>
      </c>
      <c r="C116" s="882">
        <v>173.96600000000001</v>
      </c>
      <c r="D116" s="882">
        <v>19.018000000000001</v>
      </c>
      <c r="E116" s="882"/>
      <c r="F116" s="882">
        <v>373.89600000000002</v>
      </c>
      <c r="G116" s="882">
        <v>52.113</v>
      </c>
      <c r="H116" s="882">
        <v>4.57</v>
      </c>
      <c r="I116" s="885"/>
      <c r="J116" s="881"/>
      <c r="K116" s="881">
        <v>5</v>
      </c>
      <c r="L116" s="882">
        <v>-12.327</v>
      </c>
      <c r="M116" s="882">
        <v>-239.36199999999999</v>
      </c>
      <c r="N116" s="882"/>
      <c r="O116" s="882">
        <v>-3.99</v>
      </c>
      <c r="P116" s="882">
        <v>-22.103000000000002</v>
      </c>
      <c r="Q116" s="882">
        <v>-18.847000000000001</v>
      </c>
    </row>
    <row r="117" spans="1:17" ht="15" customHeight="1">
      <c r="A117" s="521"/>
      <c r="B117" s="521">
        <v>6</v>
      </c>
      <c r="C117" s="685">
        <v>61.423999999999999</v>
      </c>
      <c r="D117" s="685">
        <v>48.116999999999997</v>
      </c>
      <c r="E117" s="685"/>
      <c r="F117" s="685">
        <v>348.92399999999998</v>
      </c>
      <c r="G117" s="685">
        <v>7.7969999999999997</v>
      </c>
      <c r="H117" s="685">
        <v>2.415</v>
      </c>
      <c r="J117" s="521"/>
      <c r="K117" s="521">
        <v>6</v>
      </c>
      <c r="L117" s="685">
        <v>-54.485999999999997</v>
      </c>
      <c r="M117" s="685">
        <v>-154.33099999999999</v>
      </c>
      <c r="N117" s="685"/>
      <c r="O117" s="685">
        <v>-17.347000000000001</v>
      </c>
      <c r="P117" s="685">
        <v>-55.963000000000001</v>
      </c>
      <c r="Q117" s="685">
        <v>-31.25</v>
      </c>
    </row>
    <row r="118" spans="1:17" ht="15" customHeight="1">
      <c r="A118" s="881"/>
      <c r="B118" s="881">
        <v>7</v>
      </c>
      <c r="C118" s="882">
        <v>55.968000000000004</v>
      </c>
      <c r="D118" s="882">
        <v>11.659000000000001</v>
      </c>
      <c r="E118" s="882"/>
      <c r="F118" s="882">
        <v>211.291</v>
      </c>
      <c r="G118" s="882">
        <v>4.0549999999999997</v>
      </c>
      <c r="H118" s="882">
        <v>1.619</v>
      </c>
      <c r="I118" s="885"/>
      <c r="J118" s="881"/>
      <c r="K118" s="881">
        <v>7</v>
      </c>
      <c r="L118" s="882">
        <v>-62.037999999999997</v>
      </c>
      <c r="M118" s="882">
        <v>-235.63200000000001</v>
      </c>
      <c r="N118" s="882"/>
      <c r="O118" s="882">
        <v>-65.001000000000005</v>
      </c>
      <c r="P118" s="882">
        <v>-80.465000000000003</v>
      </c>
      <c r="Q118" s="882">
        <v>-52.264000000000003</v>
      </c>
    </row>
    <row r="119" spans="1:17" ht="15" customHeight="1">
      <c r="A119" s="521"/>
      <c r="B119" s="521">
        <v>8</v>
      </c>
      <c r="C119" s="685">
        <v>39.826000000000001</v>
      </c>
      <c r="D119" s="685">
        <v>5.6820000000000004</v>
      </c>
      <c r="E119" s="685"/>
      <c r="F119" s="685">
        <v>81.622</v>
      </c>
      <c r="G119" s="685">
        <v>1.3440000000000001</v>
      </c>
      <c r="H119" s="685">
        <v>0</v>
      </c>
      <c r="J119" s="521"/>
      <c r="K119" s="521">
        <v>8</v>
      </c>
      <c r="L119" s="685">
        <v>-58.887</v>
      </c>
      <c r="M119" s="685">
        <v>-233.27099999999999</v>
      </c>
      <c r="N119" s="685"/>
      <c r="O119" s="685">
        <v>-92.712000000000003</v>
      </c>
      <c r="P119" s="685">
        <v>-86.846000000000004</v>
      </c>
      <c r="Q119" s="685">
        <v>-66.676000000000002</v>
      </c>
    </row>
    <row r="120" spans="1:17" ht="15" customHeight="1">
      <c r="A120" s="881"/>
      <c r="B120" s="881">
        <v>9</v>
      </c>
      <c r="C120" s="882">
        <v>5.1820000000000004</v>
      </c>
      <c r="D120" s="882">
        <v>14.205</v>
      </c>
      <c r="E120" s="882"/>
      <c r="F120" s="882">
        <v>215.934</v>
      </c>
      <c r="G120" s="882">
        <v>0.224</v>
      </c>
      <c r="H120" s="882">
        <v>1.7709999999999999</v>
      </c>
      <c r="I120" s="885"/>
      <c r="J120" s="881"/>
      <c r="K120" s="881">
        <v>9</v>
      </c>
      <c r="L120" s="882">
        <v>-184.791</v>
      </c>
      <c r="M120" s="882">
        <v>-227.63300000000001</v>
      </c>
      <c r="N120" s="882"/>
      <c r="O120" s="882">
        <v>-24.72</v>
      </c>
      <c r="P120" s="882">
        <v>-98.372</v>
      </c>
      <c r="Q120" s="882">
        <v>-59.738999999999997</v>
      </c>
    </row>
    <row r="121" spans="1:17" ht="15" customHeight="1">
      <c r="A121" s="521"/>
      <c r="B121" s="521">
        <v>10</v>
      </c>
      <c r="C121" s="685">
        <v>46.305999999999997</v>
      </c>
      <c r="D121" s="685">
        <v>3.831</v>
      </c>
      <c r="E121" s="685"/>
      <c r="F121" s="685">
        <v>122.742</v>
      </c>
      <c r="G121" s="685">
        <v>4.2119999999999997</v>
      </c>
      <c r="H121" s="685">
        <v>0.70599999999999996</v>
      </c>
      <c r="J121" s="521"/>
      <c r="K121" s="521">
        <v>10</v>
      </c>
      <c r="L121" s="685">
        <v>-146.619</v>
      </c>
      <c r="M121" s="685">
        <v>-191.82400000000001</v>
      </c>
      <c r="N121" s="685"/>
      <c r="O121" s="685">
        <v>-82.968999999999994</v>
      </c>
      <c r="P121" s="685">
        <v>-87.602000000000004</v>
      </c>
      <c r="Q121" s="685">
        <v>-60.04</v>
      </c>
    </row>
    <row r="122" spans="1:17" ht="15" customHeight="1">
      <c r="A122" s="881"/>
      <c r="B122" s="881">
        <v>11</v>
      </c>
      <c r="C122" s="882">
        <v>5.3840000000000003</v>
      </c>
      <c r="D122" s="882">
        <v>3.3959999999999999</v>
      </c>
      <c r="E122" s="882"/>
      <c r="F122" s="882">
        <v>143.18199999999999</v>
      </c>
      <c r="G122" s="882">
        <v>0.41299999999999998</v>
      </c>
      <c r="H122" s="882">
        <v>0.47399999999999998</v>
      </c>
      <c r="I122" s="885"/>
      <c r="J122" s="881"/>
      <c r="K122" s="881">
        <v>11</v>
      </c>
      <c r="L122" s="882">
        <v>-228.94499999999999</v>
      </c>
      <c r="M122" s="882">
        <v>-178.79499999999999</v>
      </c>
      <c r="N122" s="882"/>
      <c r="O122" s="882">
        <v>-52.17</v>
      </c>
      <c r="P122" s="882">
        <v>-91.549000000000007</v>
      </c>
      <c r="Q122" s="882">
        <v>-71.994</v>
      </c>
    </row>
    <row r="123" spans="1:17" ht="15" customHeight="1">
      <c r="A123" s="521"/>
      <c r="B123" s="521">
        <v>12</v>
      </c>
      <c r="C123" s="685">
        <v>5.343</v>
      </c>
      <c r="D123" s="685">
        <v>2.931</v>
      </c>
      <c r="E123" s="685"/>
      <c r="F123" s="685">
        <v>132.36000000000001</v>
      </c>
      <c r="G123" s="685">
        <v>2.9049999999999998</v>
      </c>
      <c r="H123" s="685">
        <v>1.335</v>
      </c>
      <c r="J123" s="521"/>
      <c r="K123" s="521">
        <v>12</v>
      </c>
      <c r="L123" s="685">
        <v>-209.79</v>
      </c>
      <c r="M123" s="685">
        <v>-229.74</v>
      </c>
      <c r="N123" s="685"/>
      <c r="O123" s="685">
        <v>-46.201000000000001</v>
      </c>
      <c r="P123" s="685">
        <v>-92.471999999999994</v>
      </c>
      <c r="Q123" s="685">
        <v>-67.137</v>
      </c>
    </row>
    <row r="124" spans="1:17" ht="15" customHeight="1">
      <c r="A124" s="881"/>
      <c r="B124" s="881">
        <v>13</v>
      </c>
      <c r="C124" s="882">
        <v>44.393999999999998</v>
      </c>
      <c r="D124" s="882">
        <v>2.431</v>
      </c>
      <c r="E124" s="882"/>
      <c r="F124" s="882">
        <v>102.515</v>
      </c>
      <c r="G124" s="882">
        <v>5.7610000000000001</v>
      </c>
      <c r="H124" s="882">
        <v>0.998</v>
      </c>
      <c r="I124" s="885"/>
      <c r="J124" s="881"/>
      <c r="K124" s="881">
        <v>13</v>
      </c>
      <c r="L124" s="882">
        <v>-146.93299999999999</v>
      </c>
      <c r="M124" s="882">
        <v>-317.23399999999998</v>
      </c>
      <c r="N124" s="882"/>
      <c r="O124" s="882">
        <v>-73.650000000000006</v>
      </c>
      <c r="P124" s="882">
        <v>-70.316000000000003</v>
      </c>
      <c r="Q124" s="882">
        <v>-71.738</v>
      </c>
    </row>
    <row r="125" spans="1:17" ht="15" customHeight="1">
      <c r="A125" s="521"/>
      <c r="B125" s="521">
        <v>14</v>
      </c>
      <c r="C125" s="685">
        <v>5.1710000000000003</v>
      </c>
      <c r="D125" s="685">
        <v>2.2909999999999999</v>
      </c>
      <c r="E125" s="685"/>
      <c r="F125" s="685">
        <v>187.85300000000001</v>
      </c>
      <c r="G125" s="685">
        <v>0.59199999999999997</v>
      </c>
      <c r="H125" s="685">
        <v>3.867</v>
      </c>
      <c r="J125" s="521"/>
      <c r="K125" s="521">
        <v>14</v>
      </c>
      <c r="L125" s="685">
        <v>-233.17400000000001</v>
      </c>
      <c r="M125" s="685">
        <v>-310.16300000000001</v>
      </c>
      <c r="N125" s="685"/>
      <c r="O125" s="685">
        <v>-58.688000000000002</v>
      </c>
      <c r="P125" s="685">
        <v>-88.676000000000002</v>
      </c>
      <c r="Q125" s="685">
        <v>-61.865000000000002</v>
      </c>
    </row>
    <row r="126" spans="1:17" ht="15" customHeight="1">
      <c r="A126" s="881"/>
      <c r="B126" s="881">
        <v>15</v>
      </c>
      <c r="C126" s="882">
        <v>13.946999999999999</v>
      </c>
      <c r="D126" s="882">
        <v>1.913</v>
      </c>
      <c r="E126" s="882"/>
      <c r="F126" s="882">
        <v>173.87200000000001</v>
      </c>
      <c r="G126" s="882">
        <v>4.0309999999999997</v>
      </c>
      <c r="H126" s="882">
        <v>1.37</v>
      </c>
      <c r="I126" s="885"/>
      <c r="J126" s="881"/>
      <c r="K126" s="881">
        <v>15</v>
      </c>
      <c r="L126" s="882">
        <v>-215.178</v>
      </c>
      <c r="M126" s="882">
        <v>-299.66699999999997</v>
      </c>
      <c r="N126" s="882"/>
      <c r="O126" s="882">
        <v>-68.736000000000004</v>
      </c>
      <c r="P126" s="882">
        <v>-87.503</v>
      </c>
      <c r="Q126" s="882">
        <v>-32.610999999999997</v>
      </c>
    </row>
    <row r="127" spans="1:17" ht="15" customHeight="1">
      <c r="A127" s="521"/>
      <c r="B127" s="521">
        <v>16</v>
      </c>
      <c r="C127" s="685">
        <v>1.4630000000000001</v>
      </c>
      <c r="D127" s="685">
        <v>1.861</v>
      </c>
      <c r="E127" s="685"/>
      <c r="F127" s="685">
        <v>286.51100000000002</v>
      </c>
      <c r="G127" s="685">
        <v>0.68</v>
      </c>
      <c r="H127" s="685">
        <v>1.2969999999999999</v>
      </c>
      <c r="J127" s="521"/>
      <c r="K127" s="521">
        <v>16</v>
      </c>
      <c r="L127" s="685">
        <v>-204.977</v>
      </c>
      <c r="M127" s="685">
        <v>-254.029</v>
      </c>
      <c r="N127" s="685"/>
      <c r="O127" s="685">
        <v>-8.3469999999999995</v>
      </c>
      <c r="P127" s="685">
        <v>-96.162000000000006</v>
      </c>
      <c r="Q127" s="685">
        <v>-59.058</v>
      </c>
    </row>
    <row r="128" spans="1:17" ht="15" customHeight="1">
      <c r="A128" s="881"/>
      <c r="B128" s="881">
        <v>17</v>
      </c>
      <c r="C128" s="882">
        <v>11.801</v>
      </c>
      <c r="D128" s="882">
        <v>5.3559999999999999</v>
      </c>
      <c r="E128" s="882"/>
      <c r="F128" s="882">
        <v>194.52600000000001</v>
      </c>
      <c r="G128" s="882">
        <v>2.7269999999999999</v>
      </c>
      <c r="H128" s="882">
        <v>0.05</v>
      </c>
      <c r="I128" s="885"/>
      <c r="J128" s="881"/>
      <c r="K128" s="881">
        <v>17</v>
      </c>
      <c r="L128" s="882">
        <v>-193.41</v>
      </c>
      <c r="M128" s="882">
        <v>-307.06299999999999</v>
      </c>
      <c r="N128" s="882"/>
      <c r="O128" s="882">
        <v>-52.642000000000003</v>
      </c>
      <c r="P128" s="882">
        <v>-80.814999999999998</v>
      </c>
      <c r="Q128" s="882">
        <v>-62.338000000000001</v>
      </c>
    </row>
    <row r="129" spans="1:17" ht="15" customHeight="1">
      <c r="A129" s="521"/>
      <c r="B129" s="521">
        <v>18</v>
      </c>
      <c r="C129" s="685">
        <v>2.54</v>
      </c>
      <c r="D129" s="685">
        <v>3.581</v>
      </c>
      <c r="E129" s="685"/>
      <c r="F129" s="685">
        <v>153.601</v>
      </c>
      <c r="G129" s="685">
        <v>3.35</v>
      </c>
      <c r="H129" s="685">
        <v>0</v>
      </c>
      <c r="J129" s="521"/>
      <c r="K129" s="521">
        <v>18</v>
      </c>
      <c r="L129" s="685">
        <v>-222.203</v>
      </c>
      <c r="M129" s="685">
        <v>-346.42599999999999</v>
      </c>
      <c r="N129" s="685"/>
      <c r="O129" s="685">
        <v>-63.445999999999998</v>
      </c>
      <c r="P129" s="685">
        <v>-85.557000000000002</v>
      </c>
      <c r="Q129" s="685">
        <v>-53.588999999999999</v>
      </c>
    </row>
    <row r="130" spans="1:17" ht="15" customHeight="1">
      <c r="A130" s="881"/>
      <c r="B130" s="881">
        <v>19</v>
      </c>
      <c r="C130" s="882">
        <v>0.98399999999999999</v>
      </c>
      <c r="D130" s="882">
        <v>10.266999999999999</v>
      </c>
      <c r="E130" s="882"/>
      <c r="F130" s="882">
        <v>86.046999999999997</v>
      </c>
      <c r="G130" s="882">
        <v>2.085</v>
      </c>
      <c r="H130" s="882">
        <v>0.629</v>
      </c>
      <c r="I130" s="885"/>
      <c r="J130" s="881"/>
      <c r="K130" s="881">
        <v>19</v>
      </c>
      <c r="L130" s="882">
        <v>-125.35</v>
      </c>
      <c r="M130" s="882">
        <v>-285.94299999999998</v>
      </c>
      <c r="N130" s="882"/>
      <c r="O130" s="882">
        <v>-72.194999999999993</v>
      </c>
      <c r="P130" s="882">
        <v>-90.393000000000001</v>
      </c>
      <c r="Q130" s="882">
        <v>-51.533000000000001</v>
      </c>
    </row>
    <row r="131" spans="1:17" ht="15" customHeight="1">
      <c r="A131" s="521"/>
      <c r="B131" s="521">
        <v>20</v>
      </c>
      <c r="C131" s="685">
        <v>6.26</v>
      </c>
      <c r="D131" s="685">
        <v>5.3170000000000002</v>
      </c>
      <c r="E131" s="685"/>
      <c r="F131" s="685">
        <v>234.505</v>
      </c>
      <c r="G131" s="685">
        <v>2.855</v>
      </c>
      <c r="H131" s="685">
        <v>0</v>
      </c>
      <c r="J131" s="521"/>
      <c r="K131" s="521">
        <v>20</v>
      </c>
      <c r="L131" s="685">
        <v>-202.95099999999999</v>
      </c>
      <c r="M131" s="685">
        <v>-329.46600000000001</v>
      </c>
      <c r="N131" s="685"/>
      <c r="O131" s="685">
        <v>-30.581</v>
      </c>
      <c r="P131" s="685">
        <v>-82.072000000000003</v>
      </c>
      <c r="Q131" s="685">
        <v>-59.695999999999998</v>
      </c>
    </row>
    <row r="132" spans="1:17" ht="15" customHeight="1">
      <c r="A132" s="881"/>
      <c r="B132" s="881">
        <v>21</v>
      </c>
      <c r="C132" s="882">
        <v>7.0999999999999994E-2</v>
      </c>
      <c r="D132" s="882">
        <v>3.3220000000000001</v>
      </c>
      <c r="E132" s="882"/>
      <c r="F132" s="882">
        <v>281.76400000000001</v>
      </c>
      <c r="G132" s="882">
        <v>2.8210000000000002</v>
      </c>
      <c r="H132" s="882">
        <v>0</v>
      </c>
      <c r="I132" s="885"/>
      <c r="J132" s="881"/>
      <c r="K132" s="881">
        <v>21</v>
      </c>
      <c r="L132" s="882">
        <v>-242.833</v>
      </c>
      <c r="M132" s="882">
        <v>-320.98599999999999</v>
      </c>
      <c r="N132" s="882"/>
      <c r="O132" s="882">
        <v>-23.605</v>
      </c>
      <c r="P132" s="882">
        <v>-67.242000000000004</v>
      </c>
      <c r="Q132" s="882">
        <v>-71.022000000000006</v>
      </c>
    </row>
    <row r="133" spans="1:17" ht="15" customHeight="1">
      <c r="A133" s="521"/>
      <c r="B133" s="521">
        <v>22</v>
      </c>
      <c r="C133" s="685">
        <v>9.4</v>
      </c>
      <c r="D133" s="685">
        <v>5.2850000000000001</v>
      </c>
      <c r="E133" s="685"/>
      <c r="F133" s="685">
        <v>272.45100000000002</v>
      </c>
      <c r="G133" s="685">
        <v>6.9</v>
      </c>
      <c r="H133" s="685">
        <v>0</v>
      </c>
      <c r="J133" s="521"/>
      <c r="K133" s="521">
        <v>22</v>
      </c>
      <c r="L133" s="685">
        <v>-180.14</v>
      </c>
      <c r="M133" s="685">
        <v>-301.65499999999997</v>
      </c>
      <c r="N133" s="685"/>
      <c r="O133" s="685">
        <v>-15.489000000000001</v>
      </c>
      <c r="P133" s="685">
        <v>-70.304000000000002</v>
      </c>
      <c r="Q133" s="685">
        <v>-47.7</v>
      </c>
    </row>
    <row r="134" spans="1:17" ht="15" customHeight="1">
      <c r="A134" s="881"/>
      <c r="B134" s="881">
        <v>23</v>
      </c>
      <c r="C134" s="882">
        <v>4.5819999999999999</v>
      </c>
      <c r="D134" s="882">
        <v>3.915</v>
      </c>
      <c r="E134" s="882"/>
      <c r="F134" s="882">
        <v>184.113</v>
      </c>
      <c r="G134" s="882">
        <v>4.99</v>
      </c>
      <c r="H134" s="882">
        <v>0.70399999999999996</v>
      </c>
      <c r="I134" s="885"/>
      <c r="J134" s="881"/>
      <c r="K134" s="881">
        <v>23</v>
      </c>
      <c r="L134" s="882">
        <v>-184.96100000000001</v>
      </c>
      <c r="M134" s="882">
        <v>-301.71499999999997</v>
      </c>
      <c r="N134" s="882"/>
      <c r="O134" s="882">
        <v>-36.963999999999999</v>
      </c>
      <c r="P134" s="882">
        <v>-75.575999999999993</v>
      </c>
      <c r="Q134" s="882">
        <v>-50.877000000000002</v>
      </c>
    </row>
    <row r="135" spans="1:17" ht="15" customHeight="1">
      <c r="B135" s="521">
        <v>24</v>
      </c>
      <c r="C135" s="685">
        <v>7.0839999999999996</v>
      </c>
      <c r="D135" s="685">
        <v>3.8929999999999998</v>
      </c>
      <c r="E135" s="685"/>
      <c r="F135" s="685">
        <v>262.77199999999999</v>
      </c>
      <c r="G135" s="685">
        <v>2.798</v>
      </c>
      <c r="H135" s="685">
        <v>0.30199999999999999</v>
      </c>
      <c r="J135" s="521"/>
      <c r="K135" s="521">
        <v>24</v>
      </c>
      <c r="L135" s="685">
        <v>-257.01</v>
      </c>
      <c r="M135" s="685">
        <v>-254.28899999999999</v>
      </c>
      <c r="N135" s="685"/>
      <c r="O135" s="685">
        <v>-35.51</v>
      </c>
      <c r="P135" s="685">
        <v>-86.284999999999997</v>
      </c>
      <c r="Q135" s="685">
        <v>-37.295999999999999</v>
      </c>
    </row>
    <row r="136" spans="1:17" ht="15" customHeight="1">
      <c r="A136" s="885"/>
      <c r="B136" s="881">
        <v>25</v>
      </c>
      <c r="C136" s="882">
        <v>0.17899999999999999</v>
      </c>
      <c r="D136" s="882">
        <v>5.4870000000000001</v>
      </c>
      <c r="E136" s="882"/>
      <c r="F136" s="882">
        <v>200.62899999999999</v>
      </c>
      <c r="G136" s="882">
        <v>5.2190000000000003</v>
      </c>
      <c r="H136" s="882">
        <v>0.41299999999999998</v>
      </c>
      <c r="I136" s="885"/>
      <c r="J136" s="881"/>
      <c r="K136" s="881">
        <v>25</v>
      </c>
      <c r="L136" s="882">
        <v>-237.619</v>
      </c>
      <c r="M136" s="882">
        <v>-155.54</v>
      </c>
      <c r="N136" s="882"/>
      <c r="O136" s="882">
        <v>-45.503</v>
      </c>
      <c r="P136" s="882">
        <v>-83.921999999999997</v>
      </c>
      <c r="Q136" s="882">
        <v>-43.66</v>
      </c>
    </row>
    <row r="137" spans="1:17" ht="15" customHeight="1">
      <c r="B137" s="521">
        <v>26</v>
      </c>
      <c r="C137" s="685">
        <v>4.3710000000000004</v>
      </c>
      <c r="D137" s="685">
        <v>3.71</v>
      </c>
      <c r="E137" s="685"/>
      <c r="F137" s="685">
        <v>275.20699999999999</v>
      </c>
      <c r="G137" s="685">
        <v>1.994</v>
      </c>
      <c r="H137" s="685">
        <v>2.2599999999999998</v>
      </c>
      <c r="J137" s="521"/>
      <c r="K137" s="521">
        <v>26</v>
      </c>
      <c r="L137" s="685">
        <v>-181.93</v>
      </c>
      <c r="M137" s="685">
        <v>-276.05200000000002</v>
      </c>
      <c r="N137" s="685"/>
      <c r="O137" s="685">
        <v>-19.425999999999998</v>
      </c>
      <c r="P137" s="685">
        <v>-64.742999999999995</v>
      </c>
      <c r="Q137" s="685">
        <v>-37.576999999999998</v>
      </c>
    </row>
    <row r="138" spans="1:17" ht="15" customHeight="1">
      <c r="A138" s="885"/>
      <c r="B138" s="881">
        <v>27</v>
      </c>
      <c r="C138" s="882">
        <v>0.34599999999999997</v>
      </c>
      <c r="D138" s="882">
        <v>4.6239999999999997</v>
      </c>
      <c r="E138" s="882"/>
      <c r="F138" s="882">
        <v>298.15600000000001</v>
      </c>
      <c r="G138" s="882">
        <v>0.77800000000000002</v>
      </c>
      <c r="H138" s="882">
        <v>0.11700000000000001</v>
      </c>
      <c r="I138" s="885"/>
      <c r="J138" s="881"/>
      <c r="K138" s="881">
        <v>27</v>
      </c>
      <c r="L138" s="882">
        <v>-221.58699999999999</v>
      </c>
      <c r="M138" s="882">
        <v>-320.43799999999999</v>
      </c>
      <c r="N138" s="882"/>
      <c r="O138" s="882">
        <v>-8.2629999999999999</v>
      </c>
      <c r="P138" s="882">
        <v>-87.721999999999994</v>
      </c>
      <c r="Q138" s="882">
        <v>-28.291</v>
      </c>
    </row>
    <row r="139" spans="1:17" ht="15" customHeight="1">
      <c r="B139" s="521">
        <v>28</v>
      </c>
      <c r="C139" s="685">
        <v>0.23799999999999999</v>
      </c>
      <c r="D139" s="685">
        <v>2.7519999999999998</v>
      </c>
      <c r="E139" s="685"/>
      <c r="F139" s="685">
        <v>188.63900000000001</v>
      </c>
      <c r="G139" s="685">
        <v>0</v>
      </c>
      <c r="H139" s="685">
        <v>0</v>
      </c>
      <c r="J139" s="521"/>
      <c r="K139" s="521">
        <v>28</v>
      </c>
      <c r="L139" s="685">
        <v>-223.976</v>
      </c>
      <c r="M139" s="685">
        <v>-349.08699999999999</v>
      </c>
      <c r="N139" s="685"/>
      <c r="O139" s="685">
        <v>-23.771000000000001</v>
      </c>
      <c r="P139" s="685">
        <v>-102.137</v>
      </c>
      <c r="Q139" s="685">
        <v>-52.537999999999997</v>
      </c>
    </row>
    <row r="140" spans="1:17" ht="15" customHeight="1">
      <c r="A140" s="885"/>
      <c r="B140" s="881">
        <v>29</v>
      </c>
      <c r="C140" s="882">
        <v>4.4400000000000004</v>
      </c>
      <c r="D140" s="882">
        <v>3.548</v>
      </c>
      <c r="E140" s="882"/>
      <c r="F140" s="882">
        <v>83.652000000000001</v>
      </c>
      <c r="G140" s="882">
        <v>0</v>
      </c>
      <c r="H140" s="882">
        <v>0</v>
      </c>
      <c r="I140" s="885"/>
      <c r="J140" s="881"/>
      <c r="K140" s="881">
        <v>29</v>
      </c>
      <c r="L140" s="882">
        <v>-278.83</v>
      </c>
      <c r="M140" s="882">
        <v>-298.80500000000001</v>
      </c>
      <c r="N140" s="882"/>
      <c r="O140" s="882">
        <v>-46.118000000000002</v>
      </c>
      <c r="P140" s="882">
        <v>-103.254</v>
      </c>
      <c r="Q140" s="882">
        <v>-74.789000000000001</v>
      </c>
    </row>
    <row r="141" spans="1:17" ht="15" customHeight="1">
      <c r="B141" s="521">
        <v>30</v>
      </c>
      <c r="C141" s="685">
        <v>5.0000000000000001E-3</v>
      </c>
      <c r="D141" s="685">
        <v>2.8</v>
      </c>
      <c r="E141" s="685"/>
      <c r="F141" s="685">
        <v>230.637</v>
      </c>
      <c r="G141" s="685">
        <v>0</v>
      </c>
      <c r="H141" s="685">
        <v>0</v>
      </c>
      <c r="J141" s="521"/>
      <c r="K141" s="521">
        <v>30</v>
      </c>
      <c r="L141" s="685">
        <v>-315.94400000000002</v>
      </c>
      <c r="M141" s="685">
        <v>-330.904</v>
      </c>
      <c r="N141" s="685"/>
      <c r="O141" s="685">
        <v>-4.24</v>
      </c>
      <c r="P141" s="685">
        <v>-96.382999999999996</v>
      </c>
      <c r="Q141" s="685">
        <v>-73.400000000000006</v>
      </c>
    </row>
    <row r="142" spans="1:17" ht="15" customHeight="1">
      <c r="A142" s="885"/>
      <c r="B142" s="881">
        <v>31</v>
      </c>
      <c r="C142" s="882">
        <v>0</v>
      </c>
      <c r="D142" s="882">
        <v>1.335</v>
      </c>
      <c r="E142" s="882"/>
      <c r="F142" s="882">
        <v>153.55500000000001</v>
      </c>
      <c r="G142" s="882">
        <v>0</v>
      </c>
      <c r="H142" s="882">
        <v>0</v>
      </c>
      <c r="I142" s="885"/>
      <c r="J142" s="881"/>
      <c r="K142" s="881">
        <v>31</v>
      </c>
      <c r="L142" s="882">
        <v>-319.73</v>
      </c>
      <c r="M142" s="882">
        <v>-414.15199999999999</v>
      </c>
      <c r="N142" s="882"/>
      <c r="O142" s="882">
        <v>-14.853999999999999</v>
      </c>
      <c r="P142" s="882">
        <v>-101.361</v>
      </c>
      <c r="Q142" s="882">
        <v>-72.537999999999997</v>
      </c>
    </row>
    <row r="143" spans="1:17" ht="15" customHeight="1">
      <c r="B143" s="521">
        <v>32</v>
      </c>
      <c r="C143" s="685">
        <v>9.9000000000000005E-2</v>
      </c>
      <c r="D143" s="685">
        <v>1.66</v>
      </c>
      <c r="E143" s="685"/>
      <c r="F143" s="685">
        <v>178.22399999999999</v>
      </c>
      <c r="G143" s="685">
        <v>0.28799999999999998</v>
      </c>
      <c r="H143" s="685">
        <v>0</v>
      </c>
      <c r="J143" s="521"/>
      <c r="K143" s="521">
        <v>32</v>
      </c>
      <c r="L143" s="685">
        <v>-280.28500000000003</v>
      </c>
      <c r="M143" s="685">
        <v>-430.04300000000001</v>
      </c>
      <c r="N143" s="685"/>
      <c r="O143" s="685">
        <v>-8.4380000000000006</v>
      </c>
      <c r="P143" s="685">
        <v>-81.504999999999995</v>
      </c>
      <c r="Q143" s="685">
        <v>-53.831000000000003</v>
      </c>
    </row>
    <row r="144" spans="1:17" ht="15" customHeight="1">
      <c r="A144" s="885"/>
      <c r="B144" s="881">
        <v>33</v>
      </c>
      <c r="C144" s="882">
        <v>1.669</v>
      </c>
      <c r="D144" s="882">
        <v>1.613</v>
      </c>
      <c r="E144" s="882"/>
      <c r="F144" s="882">
        <v>387.68299999999999</v>
      </c>
      <c r="G144" s="882">
        <v>0</v>
      </c>
      <c r="H144" s="882">
        <v>0.28999999999999998</v>
      </c>
      <c r="I144" s="885"/>
      <c r="J144" s="881"/>
      <c r="K144" s="881">
        <v>33</v>
      </c>
      <c r="L144" s="882">
        <v>-251.78299999999999</v>
      </c>
      <c r="M144" s="882">
        <v>-399.28300000000002</v>
      </c>
      <c r="N144" s="882"/>
      <c r="O144" s="882">
        <v>-8.7590000000000003</v>
      </c>
      <c r="P144" s="882">
        <v>-3.0000000000000001E-3</v>
      </c>
      <c r="Q144" s="882">
        <v>-38.784999999999997</v>
      </c>
    </row>
    <row r="145" spans="1:17" ht="15" customHeight="1">
      <c r="B145" s="521">
        <v>34</v>
      </c>
      <c r="C145" s="685">
        <v>12.548999999999999</v>
      </c>
      <c r="D145" s="685">
        <v>1.0609999999999999</v>
      </c>
      <c r="E145" s="685"/>
      <c r="F145" s="685">
        <v>378.67399999999998</v>
      </c>
      <c r="G145" s="685">
        <v>0</v>
      </c>
      <c r="H145" s="685">
        <v>0</v>
      </c>
      <c r="J145" s="521"/>
      <c r="K145" s="521">
        <v>34</v>
      </c>
      <c r="L145" s="685">
        <v>-140.67500000000001</v>
      </c>
      <c r="M145" s="685">
        <v>-319.55399999999997</v>
      </c>
      <c r="N145" s="685"/>
      <c r="O145" s="685">
        <v>-4.9119999999999999</v>
      </c>
      <c r="P145" s="685">
        <v>0</v>
      </c>
      <c r="Q145" s="685">
        <v>-23.327999999999999</v>
      </c>
    </row>
    <row r="146" spans="1:17" ht="15" customHeight="1">
      <c r="A146" s="885"/>
      <c r="B146" s="881">
        <v>35</v>
      </c>
      <c r="C146" s="882">
        <v>3.3679999999999999</v>
      </c>
      <c r="D146" s="882">
        <v>4.84</v>
      </c>
      <c r="E146" s="882"/>
      <c r="F146" s="882">
        <v>382.18400000000003</v>
      </c>
      <c r="G146" s="882">
        <v>0</v>
      </c>
      <c r="H146" s="882">
        <v>0</v>
      </c>
      <c r="I146" s="885"/>
      <c r="J146" s="881"/>
      <c r="K146" s="881">
        <v>35</v>
      </c>
      <c r="L146" s="882">
        <v>-244.946</v>
      </c>
      <c r="M146" s="882">
        <v>-330.27199999999999</v>
      </c>
      <c r="N146" s="882"/>
      <c r="O146" s="882">
        <v>-5.0199999999999996</v>
      </c>
      <c r="P146" s="882">
        <v>0</v>
      </c>
      <c r="Q146" s="882">
        <v>-47.152999999999999</v>
      </c>
    </row>
    <row r="147" spans="1:17" ht="15" customHeight="1">
      <c r="B147" s="521">
        <v>36</v>
      </c>
      <c r="C147" s="685">
        <v>7.4359999999999999</v>
      </c>
      <c r="D147" s="685">
        <v>0.71399999999999997</v>
      </c>
      <c r="E147" s="685"/>
      <c r="F147" s="685">
        <v>207.404</v>
      </c>
      <c r="G147" s="685">
        <v>0</v>
      </c>
      <c r="H147" s="685">
        <v>0</v>
      </c>
      <c r="J147" s="521"/>
      <c r="K147" s="521">
        <v>36</v>
      </c>
      <c r="L147" s="685">
        <v>-238.267</v>
      </c>
      <c r="M147" s="685">
        <v>-344.52300000000002</v>
      </c>
      <c r="N147" s="685"/>
      <c r="O147" s="685">
        <v>-14.423</v>
      </c>
      <c r="P147" s="685">
        <v>0</v>
      </c>
      <c r="Q147" s="685">
        <v>-69.361999999999995</v>
      </c>
    </row>
    <row r="148" spans="1:17" ht="15" customHeight="1">
      <c r="A148" s="885"/>
      <c r="B148" s="881">
        <v>37</v>
      </c>
      <c r="C148" s="882">
        <v>1.964</v>
      </c>
      <c r="D148" s="882">
        <v>0.95899999999999996</v>
      </c>
      <c r="E148" s="882"/>
      <c r="F148" s="882">
        <v>302.55799999999999</v>
      </c>
      <c r="G148" s="882">
        <v>0</v>
      </c>
      <c r="H148" s="882">
        <v>0</v>
      </c>
      <c r="I148" s="885"/>
      <c r="J148" s="881"/>
      <c r="K148" s="881">
        <v>37</v>
      </c>
      <c r="L148" s="882">
        <v>-256.62900000000002</v>
      </c>
      <c r="M148" s="882">
        <v>-352.63900000000001</v>
      </c>
      <c r="N148" s="882"/>
      <c r="O148" s="882">
        <v>-19.893000000000001</v>
      </c>
      <c r="P148" s="882">
        <v>0</v>
      </c>
      <c r="Q148" s="882">
        <v>-54.402000000000001</v>
      </c>
    </row>
    <row r="149" spans="1:17" ht="15" customHeight="1">
      <c r="B149" s="521">
        <v>38</v>
      </c>
      <c r="C149" s="685">
        <v>6.24</v>
      </c>
      <c r="D149" s="685">
        <v>2.4039999999999999</v>
      </c>
      <c r="E149" s="685"/>
      <c r="F149" s="685">
        <v>272.92099999999999</v>
      </c>
      <c r="G149" s="685">
        <v>0</v>
      </c>
      <c r="H149" s="685">
        <v>0</v>
      </c>
      <c r="J149" s="521"/>
      <c r="K149" s="521">
        <v>38</v>
      </c>
      <c r="L149" s="685">
        <v>-268.166</v>
      </c>
      <c r="M149" s="685">
        <v>-340.10399999999998</v>
      </c>
      <c r="N149" s="685"/>
      <c r="O149" s="685">
        <v>-4.915</v>
      </c>
      <c r="P149" s="685">
        <v>0</v>
      </c>
      <c r="Q149" s="685">
        <v>-71.018000000000001</v>
      </c>
    </row>
    <row r="150" spans="1:17" ht="15" customHeight="1">
      <c r="A150" s="885"/>
      <c r="B150" s="881">
        <v>39</v>
      </c>
      <c r="C150" s="882">
        <v>45.600999999999999</v>
      </c>
      <c r="D150" s="882">
        <v>2.956</v>
      </c>
      <c r="E150" s="882"/>
      <c r="F150" s="882">
        <v>240.58600000000001</v>
      </c>
      <c r="G150" s="882">
        <v>10.586</v>
      </c>
      <c r="H150" s="882">
        <v>0</v>
      </c>
      <c r="I150" s="885"/>
      <c r="J150" s="881"/>
      <c r="K150" s="881">
        <v>39</v>
      </c>
      <c r="L150" s="882">
        <v>-117.923</v>
      </c>
      <c r="M150" s="882">
        <v>-337.09300000000002</v>
      </c>
      <c r="N150" s="882"/>
      <c r="O150" s="882">
        <v>-41.076999999999998</v>
      </c>
      <c r="P150" s="882">
        <v>-26.789000000000001</v>
      </c>
      <c r="Q150" s="882">
        <v>-23.413</v>
      </c>
    </row>
    <row r="151" spans="1:17" ht="15" customHeight="1">
      <c r="B151" s="521">
        <v>40</v>
      </c>
      <c r="C151" s="685">
        <v>10.063000000000001</v>
      </c>
      <c r="D151" s="685">
        <v>3.9790000000000001</v>
      </c>
      <c r="E151" s="685"/>
      <c r="F151" s="685">
        <v>221.083</v>
      </c>
      <c r="G151" s="685">
        <v>3.3010000000000002</v>
      </c>
      <c r="H151" s="685">
        <v>0.46200000000000002</v>
      </c>
      <c r="J151" s="521"/>
      <c r="K151" s="521">
        <v>40</v>
      </c>
      <c r="L151" s="685">
        <v>-185.69800000000001</v>
      </c>
      <c r="M151" s="685">
        <v>-311.40100000000001</v>
      </c>
      <c r="N151" s="685"/>
      <c r="O151" s="685">
        <v>-77.537000000000006</v>
      </c>
      <c r="P151" s="685">
        <v>-87.866</v>
      </c>
      <c r="Q151" s="685">
        <v>-67.316999999999993</v>
      </c>
    </row>
    <row r="152" spans="1:17" ht="15" customHeight="1">
      <c r="A152" s="885"/>
      <c r="B152" s="881">
        <v>41</v>
      </c>
      <c r="C152" s="882">
        <v>25.128</v>
      </c>
      <c r="D152" s="882">
        <v>10.071</v>
      </c>
      <c r="E152" s="882"/>
      <c r="F152" s="882">
        <v>150.29499999999999</v>
      </c>
      <c r="G152" s="882">
        <v>7.0129999999999999</v>
      </c>
      <c r="H152" s="882">
        <v>0.51</v>
      </c>
      <c r="I152" s="885"/>
      <c r="J152" s="881"/>
      <c r="K152" s="881">
        <v>41</v>
      </c>
      <c r="L152" s="882">
        <v>-170.101</v>
      </c>
      <c r="M152" s="882">
        <v>-243.51400000000001</v>
      </c>
      <c r="N152" s="882"/>
      <c r="O152" s="882">
        <v>-101.325</v>
      </c>
      <c r="P152" s="882">
        <v>-62.491999999999997</v>
      </c>
      <c r="Q152" s="882">
        <v>-58.378999999999998</v>
      </c>
    </row>
    <row r="153" spans="1:17" ht="15" customHeight="1">
      <c r="B153" s="521">
        <v>42</v>
      </c>
      <c r="C153" s="685">
        <v>15.867000000000001</v>
      </c>
      <c r="D153" s="685">
        <v>5.0339999999999998</v>
      </c>
      <c r="E153" s="685"/>
      <c r="F153" s="685">
        <v>82.951999999999998</v>
      </c>
      <c r="G153" s="685">
        <v>3.0190000000000001</v>
      </c>
      <c r="H153" s="685">
        <v>1.8560000000000001</v>
      </c>
      <c r="J153" s="521"/>
      <c r="K153" s="521">
        <v>42</v>
      </c>
      <c r="L153" s="685">
        <v>-195.346</v>
      </c>
      <c r="M153" s="685">
        <v>-258.91399999999999</v>
      </c>
      <c r="N153" s="685"/>
      <c r="O153" s="685">
        <v>-118.29600000000001</v>
      </c>
      <c r="P153" s="685">
        <v>-54.698999999999998</v>
      </c>
      <c r="Q153" s="685">
        <v>-51.344000000000001</v>
      </c>
    </row>
    <row r="154" spans="1:17" ht="15" customHeight="1">
      <c r="A154" s="885"/>
      <c r="B154" s="881">
        <v>43</v>
      </c>
      <c r="C154" s="882">
        <v>9.4390000000000001</v>
      </c>
      <c r="D154" s="882">
        <v>6.7990000000000004</v>
      </c>
      <c r="E154" s="882"/>
      <c r="F154" s="882">
        <v>96.572999999999993</v>
      </c>
      <c r="G154" s="882">
        <v>0.67800000000000005</v>
      </c>
      <c r="H154" s="882">
        <v>5.3159999999999998</v>
      </c>
      <c r="I154" s="885"/>
      <c r="J154" s="881"/>
      <c r="K154" s="881">
        <v>43</v>
      </c>
      <c r="L154" s="882">
        <v>-214.44800000000001</v>
      </c>
      <c r="M154" s="882">
        <v>-246.86699999999999</v>
      </c>
      <c r="N154" s="882"/>
      <c r="O154" s="882">
        <v>-102.998</v>
      </c>
      <c r="P154" s="882">
        <v>-21.564</v>
      </c>
      <c r="Q154" s="882">
        <v>-56.853999999999999</v>
      </c>
    </row>
    <row r="155" spans="1:17" ht="15" customHeight="1">
      <c r="B155" s="521">
        <v>44</v>
      </c>
      <c r="C155" s="685">
        <v>42.661000000000001</v>
      </c>
      <c r="D155" s="685">
        <v>6.3490000000000002</v>
      </c>
      <c r="E155" s="685"/>
      <c r="F155" s="685">
        <v>59.597000000000001</v>
      </c>
      <c r="G155" s="685">
        <v>8.4420000000000002</v>
      </c>
      <c r="H155" s="685">
        <v>7.3849999999999998</v>
      </c>
      <c r="J155" s="521"/>
      <c r="K155" s="521">
        <v>44</v>
      </c>
      <c r="L155" s="685">
        <v>-120.151</v>
      </c>
      <c r="M155" s="685">
        <v>-232.024</v>
      </c>
      <c r="N155" s="685"/>
      <c r="O155" s="685">
        <v>-199.97</v>
      </c>
      <c r="P155" s="685">
        <v>-23.219000000000001</v>
      </c>
      <c r="Q155" s="685">
        <v>-46.098999999999997</v>
      </c>
    </row>
    <row r="156" spans="1:17" ht="15" customHeight="1">
      <c r="A156" s="885"/>
      <c r="B156" s="881">
        <v>45</v>
      </c>
      <c r="C156" s="882">
        <v>31.402999999999999</v>
      </c>
      <c r="D156" s="882">
        <v>8.2919999999999998</v>
      </c>
      <c r="E156" s="882"/>
      <c r="F156" s="882">
        <v>75.963999999999999</v>
      </c>
      <c r="G156" s="882">
        <v>0</v>
      </c>
      <c r="H156" s="882">
        <v>5.468</v>
      </c>
      <c r="I156" s="885"/>
      <c r="J156" s="881"/>
      <c r="K156" s="881">
        <v>45</v>
      </c>
      <c r="L156" s="882">
        <v>-136.465</v>
      </c>
      <c r="M156" s="882">
        <v>-250.45400000000001</v>
      </c>
      <c r="N156" s="882"/>
      <c r="O156" s="882">
        <v>-186.58500000000001</v>
      </c>
      <c r="P156" s="882">
        <v>-1.7999999999999999E-2</v>
      </c>
      <c r="Q156" s="882">
        <v>-55.216999999999999</v>
      </c>
    </row>
    <row r="157" spans="1:17" ht="15" customHeight="1">
      <c r="B157" s="521">
        <v>46</v>
      </c>
      <c r="C157" s="685">
        <v>1.921</v>
      </c>
      <c r="D157" s="685">
        <v>7.4169999999999998</v>
      </c>
      <c r="E157" s="685"/>
      <c r="F157" s="685">
        <v>103.869</v>
      </c>
      <c r="G157" s="685">
        <v>0</v>
      </c>
      <c r="H157" s="685">
        <v>3.4470000000000001</v>
      </c>
      <c r="J157" s="521"/>
      <c r="K157" s="521">
        <v>46</v>
      </c>
      <c r="L157" s="685">
        <v>-260.12400000000002</v>
      </c>
      <c r="M157" s="685">
        <v>-189.69300000000001</v>
      </c>
      <c r="N157" s="685"/>
      <c r="O157" s="685">
        <v>-144.14599999999999</v>
      </c>
      <c r="P157" s="685">
        <v>-4.4999999999999998E-2</v>
      </c>
      <c r="Q157" s="685">
        <v>-40.713999999999999</v>
      </c>
    </row>
    <row r="158" spans="1:17" ht="15" customHeight="1">
      <c r="A158" s="885"/>
      <c r="B158" s="881">
        <v>47</v>
      </c>
      <c r="C158" s="882">
        <v>33.624000000000002</v>
      </c>
      <c r="D158" s="882">
        <v>7.82</v>
      </c>
      <c r="E158" s="882"/>
      <c r="F158" s="882">
        <v>146.28200000000001</v>
      </c>
      <c r="G158" s="882">
        <v>0</v>
      </c>
      <c r="H158" s="882">
        <v>0</v>
      </c>
      <c r="I158" s="885"/>
      <c r="J158" s="881"/>
      <c r="K158" s="881">
        <v>47</v>
      </c>
      <c r="L158" s="882">
        <v>-155.822</v>
      </c>
      <c r="M158" s="882">
        <v>-227.07400000000001</v>
      </c>
      <c r="N158" s="882"/>
      <c r="O158" s="882">
        <v>-131.19999999999999</v>
      </c>
      <c r="P158" s="882">
        <v>-4.3999999999999997E-2</v>
      </c>
      <c r="Q158" s="882">
        <v>-68.665999999999997</v>
      </c>
    </row>
    <row r="159" spans="1:17" ht="15" customHeight="1">
      <c r="B159" s="521">
        <v>48</v>
      </c>
      <c r="C159" s="685">
        <v>23.206</v>
      </c>
      <c r="D159" s="685">
        <v>10.829000000000001</v>
      </c>
      <c r="E159" s="685"/>
      <c r="F159" s="685">
        <v>222.471</v>
      </c>
      <c r="G159" s="685">
        <v>0</v>
      </c>
      <c r="H159" s="685">
        <v>4.9560000000000004</v>
      </c>
      <c r="J159" s="521"/>
      <c r="K159" s="521">
        <v>48</v>
      </c>
      <c r="L159" s="685">
        <v>-176.072</v>
      </c>
      <c r="M159" s="685">
        <v>-254.102</v>
      </c>
      <c r="N159" s="685"/>
      <c r="O159" s="685">
        <v>-56.509</v>
      </c>
      <c r="P159" s="685">
        <v>-1.2E-2</v>
      </c>
      <c r="Q159" s="685">
        <v>-60.447000000000003</v>
      </c>
    </row>
    <row r="160" spans="1:17" ht="15" customHeight="1">
      <c r="A160" s="885"/>
      <c r="B160" s="881">
        <v>49</v>
      </c>
      <c r="C160" s="882">
        <v>108.34399999999999</v>
      </c>
      <c r="D160" s="882">
        <v>34.518000000000001</v>
      </c>
      <c r="E160" s="882"/>
      <c r="F160" s="882">
        <v>152.28399999999999</v>
      </c>
      <c r="G160" s="882">
        <v>2.4620000000000002</v>
      </c>
      <c r="H160" s="882">
        <v>12.276</v>
      </c>
      <c r="I160" s="885"/>
      <c r="J160" s="881"/>
      <c r="K160" s="881">
        <v>49</v>
      </c>
      <c r="L160" s="882">
        <v>-62.481000000000002</v>
      </c>
      <c r="M160" s="882">
        <v>-180.435</v>
      </c>
      <c r="N160" s="882"/>
      <c r="O160" s="882">
        <v>-74.725999999999999</v>
      </c>
      <c r="P160" s="882">
        <v>-0.59499999999999997</v>
      </c>
      <c r="Q160" s="882">
        <v>-18.228999999999999</v>
      </c>
    </row>
    <row r="161" spans="1:20" ht="15" customHeight="1">
      <c r="B161" s="521">
        <v>50</v>
      </c>
      <c r="C161" s="685">
        <v>70.338999999999999</v>
      </c>
      <c r="D161" s="685">
        <v>56.595999999999997</v>
      </c>
      <c r="E161" s="685"/>
      <c r="F161" s="685">
        <v>151.24</v>
      </c>
      <c r="G161" s="685">
        <v>4.9219999999999997</v>
      </c>
      <c r="H161" s="685">
        <v>6.0019999999999998</v>
      </c>
      <c r="J161" s="521"/>
      <c r="K161" s="521">
        <v>50</v>
      </c>
      <c r="L161" s="685">
        <v>-83.361999999999995</v>
      </c>
      <c r="M161" s="685">
        <v>-162.11600000000001</v>
      </c>
      <c r="N161" s="685"/>
      <c r="O161" s="685">
        <v>-104.214</v>
      </c>
      <c r="P161" s="685">
        <v>-37.826000000000001</v>
      </c>
      <c r="Q161" s="685">
        <v>-32.192</v>
      </c>
    </row>
    <row r="162" spans="1:20" ht="15" customHeight="1">
      <c r="A162" s="885"/>
      <c r="B162" s="881">
        <v>51</v>
      </c>
      <c r="C162" s="882">
        <v>131.673</v>
      </c>
      <c r="D162" s="882">
        <v>6.7649999999999997</v>
      </c>
      <c r="E162" s="882"/>
      <c r="F162" s="882">
        <v>188.99</v>
      </c>
      <c r="G162" s="882">
        <v>15.103999999999999</v>
      </c>
      <c r="H162" s="882">
        <v>8.4139999999999997</v>
      </c>
      <c r="I162" s="885"/>
      <c r="J162" s="881"/>
      <c r="K162" s="881">
        <v>51</v>
      </c>
      <c r="L162" s="882">
        <v>-96.676000000000002</v>
      </c>
      <c r="M162" s="882">
        <v>-229.09299999999999</v>
      </c>
      <c r="N162" s="882"/>
      <c r="O162" s="882">
        <v>-107.464</v>
      </c>
      <c r="P162" s="882">
        <v>-37.258000000000003</v>
      </c>
      <c r="Q162" s="882">
        <v>-34.459000000000003</v>
      </c>
    </row>
    <row r="163" spans="1:20" ht="15" customHeight="1">
      <c r="B163" s="521">
        <v>52</v>
      </c>
      <c r="C163" s="685">
        <v>198.11799999999999</v>
      </c>
      <c r="D163" s="685">
        <v>4.8529999999999998</v>
      </c>
      <c r="E163" s="685"/>
      <c r="F163" s="685">
        <v>21.001999999999999</v>
      </c>
      <c r="G163" s="685">
        <v>40.454000000000001</v>
      </c>
      <c r="H163" s="685">
        <v>21.771999999999998</v>
      </c>
      <c r="J163" s="521"/>
      <c r="K163" s="521">
        <v>52</v>
      </c>
      <c r="L163" s="685">
        <v>-14.534000000000001</v>
      </c>
      <c r="M163" s="685">
        <v>-251.197</v>
      </c>
      <c r="N163" s="685"/>
      <c r="O163" s="685">
        <v>-332.529</v>
      </c>
      <c r="P163" s="685">
        <v>-4.8769999999999998</v>
      </c>
      <c r="Q163" s="685">
        <v>-14.981999999999999</v>
      </c>
    </row>
    <row r="164" spans="1:20" ht="15" customHeight="1">
      <c r="A164" s="881">
        <v>2013</v>
      </c>
      <c r="B164" s="881">
        <v>1</v>
      </c>
      <c r="C164" s="882">
        <v>132.608</v>
      </c>
      <c r="D164" s="882">
        <v>4.6900000000000004</v>
      </c>
      <c r="E164" s="882"/>
      <c r="F164" s="882">
        <v>40.722999999999999</v>
      </c>
      <c r="G164" s="882">
        <v>21.602</v>
      </c>
      <c r="H164" s="882">
        <v>16.190000000000001</v>
      </c>
      <c r="I164" s="881"/>
      <c r="J164" s="886">
        <v>2013</v>
      </c>
      <c r="K164" s="881">
        <v>1</v>
      </c>
      <c r="L164" s="882">
        <v>-61.225999999999999</v>
      </c>
      <c r="M164" s="882">
        <v>-253.124</v>
      </c>
      <c r="N164" s="882"/>
      <c r="O164" s="882">
        <v>-269.85399999999998</v>
      </c>
      <c r="P164" s="882">
        <v>-30.771999999999998</v>
      </c>
      <c r="Q164" s="882">
        <v>-40.146000000000001</v>
      </c>
    </row>
    <row r="165" spans="1:20" ht="15" customHeight="1">
      <c r="A165" s="521"/>
      <c r="B165" s="521">
        <v>2</v>
      </c>
      <c r="C165" s="685">
        <v>24.391999999999999</v>
      </c>
      <c r="D165" s="685">
        <v>24.454999999999998</v>
      </c>
      <c r="E165" s="685"/>
      <c r="F165" s="685">
        <v>185.01300000000001</v>
      </c>
      <c r="G165" s="685">
        <v>5.218</v>
      </c>
      <c r="H165" s="685">
        <v>11.282999999999999</v>
      </c>
      <c r="I165" s="521"/>
      <c r="J165" s="522"/>
      <c r="K165" s="521">
        <v>2</v>
      </c>
      <c r="L165" s="685">
        <v>-167.786</v>
      </c>
      <c r="M165" s="685">
        <v>-209.78100000000001</v>
      </c>
      <c r="N165" s="685"/>
      <c r="O165" s="685">
        <v>-116.309</v>
      </c>
      <c r="P165" s="685">
        <v>-57.307000000000002</v>
      </c>
      <c r="Q165" s="685">
        <v>-44.752000000000002</v>
      </c>
    </row>
    <row r="166" spans="1:20" ht="15" customHeight="1">
      <c r="A166" s="881"/>
      <c r="B166" s="881">
        <v>3</v>
      </c>
      <c r="C166" s="882">
        <v>91.221000000000004</v>
      </c>
      <c r="D166" s="882">
        <v>68.576999999999998</v>
      </c>
      <c r="E166" s="882"/>
      <c r="F166" s="882">
        <v>128.33699999999999</v>
      </c>
      <c r="G166" s="882">
        <v>17.396000000000001</v>
      </c>
      <c r="H166" s="882">
        <v>16.212</v>
      </c>
      <c r="I166" s="881"/>
      <c r="J166" s="887"/>
      <c r="K166" s="881">
        <v>3</v>
      </c>
      <c r="L166" s="882">
        <v>-83.531999999999996</v>
      </c>
      <c r="M166" s="882">
        <v>-129.215</v>
      </c>
      <c r="N166" s="882"/>
      <c r="O166" s="882">
        <v>-153.70599999999999</v>
      </c>
      <c r="P166" s="882">
        <v>-25.989000000000001</v>
      </c>
      <c r="Q166" s="882">
        <v>-11.829000000000001</v>
      </c>
    </row>
    <row r="167" spans="1:20" ht="15" customHeight="1">
      <c r="A167" s="521"/>
      <c r="B167" s="521">
        <v>4</v>
      </c>
      <c r="C167" s="685">
        <v>109.322</v>
      </c>
      <c r="D167" s="685">
        <v>39.027000000000001</v>
      </c>
      <c r="E167" s="685"/>
      <c r="F167" s="685">
        <v>113.28400000000001</v>
      </c>
      <c r="G167" s="685">
        <v>13.308999999999999</v>
      </c>
      <c r="H167" s="685">
        <v>17.698</v>
      </c>
      <c r="I167" s="521"/>
      <c r="J167" s="522"/>
      <c r="K167" s="521">
        <v>4</v>
      </c>
      <c r="L167" s="685">
        <v>-40.536000000000001</v>
      </c>
      <c r="M167" s="685">
        <v>-91.096000000000004</v>
      </c>
      <c r="N167" s="685"/>
      <c r="O167" s="685">
        <v>-138.37200000000001</v>
      </c>
      <c r="P167" s="685">
        <v>-28.443999999999999</v>
      </c>
      <c r="Q167" s="685">
        <v>-20.036000000000001</v>
      </c>
    </row>
    <row r="168" spans="1:20" ht="15" customHeight="1">
      <c r="A168" s="881"/>
      <c r="B168" s="881">
        <v>5</v>
      </c>
      <c r="C168" s="882">
        <v>133.184</v>
      </c>
      <c r="D168" s="882">
        <v>6.5880000000000001</v>
      </c>
      <c r="E168" s="882"/>
      <c r="F168" s="882">
        <v>61.756</v>
      </c>
      <c r="G168" s="882">
        <v>16.585000000000001</v>
      </c>
      <c r="H168" s="882">
        <v>12.606</v>
      </c>
      <c r="I168" s="881"/>
      <c r="J168" s="887"/>
      <c r="K168" s="881">
        <v>5</v>
      </c>
      <c r="L168" s="882">
        <v>-36.012</v>
      </c>
      <c r="M168" s="882">
        <v>-244.78399999999999</v>
      </c>
      <c r="N168" s="882"/>
      <c r="O168" s="882">
        <v>-233.73099999999999</v>
      </c>
      <c r="P168" s="882">
        <v>-28.855</v>
      </c>
      <c r="Q168" s="882">
        <v>-39.534999999999997</v>
      </c>
    </row>
    <row r="169" spans="1:20" ht="15" customHeight="1">
      <c r="A169" s="521"/>
      <c r="B169" s="521">
        <v>6</v>
      </c>
      <c r="C169" s="685">
        <v>79.337999999999994</v>
      </c>
      <c r="D169" s="685">
        <v>23.283000000000001</v>
      </c>
      <c r="E169" s="685"/>
      <c r="F169" s="685">
        <v>71.355000000000004</v>
      </c>
      <c r="G169" s="685">
        <v>16.172000000000001</v>
      </c>
      <c r="H169" s="685">
        <v>14.773999999999999</v>
      </c>
      <c r="I169" s="521"/>
      <c r="J169" s="522"/>
      <c r="K169" s="521">
        <v>6</v>
      </c>
      <c r="L169" s="685">
        <v>-78.233999999999995</v>
      </c>
      <c r="M169" s="685">
        <v>-172.95699999999999</v>
      </c>
      <c r="N169" s="685"/>
      <c r="O169" s="685">
        <v>-237.816</v>
      </c>
      <c r="P169" s="685">
        <v>-39.247999999999998</v>
      </c>
      <c r="Q169" s="685">
        <v>-31.829000000000001</v>
      </c>
    </row>
    <row r="170" spans="1:20" ht="15" customHeight="1">
      <c r="A170" s="881"/>
      <c r="B170" s="881">
        <v>7</v>
      </c>
      <c r="C170" s="882">
        <v>54.189</v>
      </c>
      <c r="D170" s="882">
        <v>33.354999999999997</v>
      </c>
      <c r="E170" s="882"/>
      <c r="F170" s="882">
        <v>91.022999999999996</v>
      </c>
      <c r="G170" s="882">
        <v>9.2420000000000009</v>
      </c>
      <c r="H170" s="882">
        <v>19.202999999999999</v>
      </c>
      <c r="I170" s="881"/>
      <c r="J170" s="887"/>
      <c r="K170" s="881">
        <v>7</v>
      </c>
      <c r="L170" s="882">
        <v>-99.984999999999999</v>
      </c>
      <c r="M170" s="882">
        <v>-117.922</v>
      </c>
      <c r="N170" s="882"/>
      <c r="O170" s="882">
        <v>-185.17500000000001</v>
      </c>
      <c r="P170" s="882">
        <v>-48.948999999999998</v>
      </c>
      <c r="Q170" s="882">
        <v>-24.276</v>
      </c>
    </row>
    <row r="171" spans="1:20" ht="15" customHeight="1">
      <c r="A171" s="521"/>
      <c r="B171" s="521">
        <v>8</v>
      </c>
      <c r="C171" s="685">
        <v>26.6</v>
      </c>
      <c r="D171" s="685">
        <v>22.986000000000001</v>
      </c>
      <c r="E171" s="685"/>
      <c r="F171" s="685">
        <v>128.762</v>
      </c>
      <c r="G171" s="685">
        <v>11.3</v>
      </c>
      <c r="H171" s="685">
        <v>20.364000000000001</v>
      </c>
      <c r="I171" s="521"/>
      <c r="J171" s="522"/>
      <c r="K171" s="521">
        <v>8</v>
      </c>
      <c r="L171" s="685">
        <v>-78.003</v>
      </c>
      <c r="M171" s="685">
        <v>-144.149</v>
      </c>
      <c r="N171" s="685"/>
      <c r="O171" s="685">
        <v>-203.601</v>
      </c>
      <c r="P171" s="685">
        <v>-51.566000000000003</v>
      </c>
      <c r="Q171" s="685">
        <v>-31.51</v>
      </c>
      <c r="T171" s="92"/>
    </row>
    <row r="172" spans="1:20" ht="15" customHeight="1">
      <c r="A172" s="881"/>
      <c r="B172" s="881">
        <v>9</v>
      </c>
      <c r="C172" s="882">
        <v>15.462999999999999</v>
      </c>
      <c r="D172" s="882">
        <v>18.266999999999999</v>
      </c>
      <c r="E172" s="882"/>
      <c r="F172" s="882">
        <v>62.381</v>
      </c>
      <c r="G172" s="882">
        <v>5.476</v>
      </c>
      <c r="H172" s="882">
        <v>18.875</v>
      </c>
      <c r="I172" s="881"/>
      <c r="J172" s="887"/>
      <c r="K172" s="881">
        <v>9</v>
      </c>
      <c r="L172" s="882">
        <v>-89.123999999999995</v>
      </c>
      <c r="M172" s="882">
        <v>-171.82499999999999</v>
      </c>
      <c r="N172" s="882"/>
      <c r="O172" s="882">
        <v>-232.922</v>
      </c>
      <c r="P172" s="882">
        <v>-66.168000000000006</v>
      </c>
      <c r="Q172" s="882">
        <v>-31.827999999999999</v>
      </c>
    </row>
    <row r="173" spans="1:20" ht="15" customHeight="1">
      <c r="A173" s="521"/>
      <c r="B173" s="521">
        <v>10</v>
      </c>
      <c r="C173" s="685">
        <v>135.494</v>
      </c>
      <c r="D173" s="685">
        <v>6.2880000000000003</v>
      </c>
      <c r="E173" s="685"/>
      <c r="F173" s="685">
        <v>42.526000000000003</v>
      </c>
      <c r="G173" s="685">
        <v>16.256</v>
      </c>
      <c r="H173" s="685">
        <v>25.827000000000002</v>
      </c>
      <c r="I173" s="521"/>
      <c r="J173" s="522"/>
      <c r="K173" s="521">
        <v>10</v>
      </c>
      <c r="L173" s="685">
        <v>-38.570999999999998</v>
      </c>
      <c r="M173" s="685">
        <v>-235.37299999999999</v>
      </c>
      <c r="N173" s="685"/>
      <c r="O173" s="685">
        <v>-307.30099999999999</v>
      </c>
      <c r="P173" s="685">
        <v>-23.675000000000001</v>
      </c>
      <c r="Q173" s="685">
        <v>-16.456</v>
      </c>
    </row>
    <row r="174" spans="1:20" ht="15" customHeight="1">
      <c r="A174" s="881"/>
      <c r="B174" s="881">
        <v>11</v>
      </c>
      <c r="C174" s="882">
        <v>137.03800000000001</v>
      </c>
      <c r="D174" s="882">
        <v>11.585000000000001</v>
      </c>
      <c r="E174" s="882"/>
      <c r="F174" s="882">
        <v>108.224</v>
      </c>
      <c r="G174" s="882">
        <v>27.556999999999999</v>
      </c>
      <c r="H174" s="882">
        <v>21.355</v>
      </c>
      <c r="I174" s="881"/>
      <c r="J174" s="887"/>
      <c r="K174" s="881">
        <v>11</v>
      </c>
      <c r="L174" s="882">
        <v>-38.177999999999997</v>
      </c>
      <c r="M174" s="882">
        <v>-182.59800000000001</v>
      </c>
      <c r="N174" s="882"/>
      <c r="O174" s="882">
        <v>-141.81200000000001</v>
      </c>
      <c r="P174" s="882">
        <v>-19.489000000000001</v>
      </c>
      <c r="Q174" s="882">
        <v>-1.012</v>
      </c>
    </row>
    <row r="175" spans="1:20" ht="15" customHeight="1">
      <c r="A175" s="521"/>
      <c r="B175" s="521">
        <v>12</v>
      </c>
      <c r="C175" s="685">
        <v>166.51900000000001</v>
      </c>
      <c r="D175" s="685">
        <v>17.111000000000001</v>
      </c>
      <c r="E175" s="685"/>
      <c r="F175" s="685">
        <v>80.698999999999998</v>
      </c>
      <c r="G175" s="685">
        <v>27.193000000000001</v>
      </c>
      <c r="H175" s="685">
        <v>23.771000000000001</v>
      </c>
      <c r="I175" s="521"/>
      <c r="J175" s="522"/>
      <c r="K175" s="521">
        <v>12</v>
      </c>
      <c r="L175" s="685">
        <v>-20.786000000000001</v>
      </c>
      <c r="M175" s="685">
        <v>-171.49600000000001</v>
      </c>
      <c r="N175" s="685"/>
      <c r="O175" s="685">
        <v>-228.571</v>
      </c>
      <c r="P175" s="685">
        <v>-16.309000000000001</v>
      </c>
      <c r="Q175" s="685">
        <v>-0.22900000000000001</v>
      </c>
    </row>
    <row r="176" spans="1:20" ht="15" customHeight="1">
      <c r="A176" s="881"/>
      <c r="B176" s="881">
        <v>13</v>
      </c>
      <c r="C176" s="882">
        <v>114.55</v>
      </c>
      <c r="D176" s="882">
        <v>44.399000000000001</v>
      </c>
      <c r="E176" s="882"/>
      <c r="F176" s="882">
        <v>61.947000000000003</v>
      </c>
      <c r="G176" s="882">
        <v>50.131999999999998</v>
      </c>
      <c r="H176" s="882">
        <v>28.792000000000002</v>
      </c>
      <c r="I176" s="881"/>
      <c r="J176" s="887"/>
      <c r="K176" s="881">
        <v>13</v>
      </c>
      <c r="L176" s="882">
        <v>-26.167000000000002</v>
      </c>
      <c r="M176" s="882">
        <v>-110.723</v>
      </c>
      <c r="N176" s="882"/>
      <c r="O176" s="882">
        <v>-278.577</v>
      </c>
      <c r="P176" s="882">
        <v>-6.0439999999999996</v>
      </c>
      <c r="Q176" s="882">
        <v>-0.63600000000000001</v>
      </c>
    </row>
    <row r="177" spans="1:17" ht="15" customHeight="1">
      <c r="A177" s="521"/>
      <c r="B177" s="521">
        <v>14</v>
      </c>
      <c r="C177" s="685">
        <v>72.587999999999994</v>
      </c>
      <c r="D177" s="685">
        <v>68.093999999999994</v>
      </c>
      <c r="E177" s="685"/>
      <c r="F177" s="685">
        <v>44.302999999999997</v>
      </c>
      <c r="G177" s="685">
        <v>39.478999999999999</v>
      </c>
      <c r="H177" s="685">
        <v>33.365000000000002</v>
      </c>
      <c r="I177" s="521"/>
      <c r="J177" s="522"/>
      <c r="K177" s="521">
        <v>14</v>
      </c>
      <c r="L177" s="685">
        <v>-45.046999999999997</v>
      </c>
      <c r="M177" s="685">
        <v>-69.594999999999999</v>
      </c>
      <c r="N177" s="685"/>
      <c r="O177" s="685">
        <v>-263.255</v>
      </c>
      <c r="P177" s="685">
        <v>-12.412000000000001</v>
      </c>
      <c r="Q177" s="685">
        <v>-0.74</v>
      </c>
    </row>
    <row r="178" spans="1:17" ht="15" customHeight="1">
      <c r="A178" s="881"/>
      <c r="B178" s="881">
        <v>15</v>
      </c>
      <c r="C178" s="882">
        <v>84.046000000000006</v>
      </c>
      <c r="D178" s="882">
        <v>57.186</v>
      </c>
      <c r="E178" s="882"/>
      <c r="F178" s="882">
        <v>49.64</v>
      </c>
      <c r="G178" s="882">
        <v>35.034999999999997</v>
      </c>
      <c r="H178" s="882">
        <v>27.602</v>
      </c>
      <c r="I178" s="881"/>
      <c r="J178" s="887"/>
      <c r="K178" s="881">
        <v>15</v>
      </c>
      <c r="L178" s="882">
        <v>-18.686</v>
      </c>
      <c r="M178" s="882">
        <v>-114.971</v>
      </c>
      <c r="N178" s="882"/>
      <c r="O178" s="882">
        <v>-232.85599999999999</v>
      </c>
      <c r="P178" s="882">
        <v>-14.834</v>
      </c>
      <c r="Q178" s="882">
        <v>-1.5389999999999999</v>
      </c>
    </row>
    <row r="179" spans="1:17" ht="15" customHeight="1">
      <c r="A179" s="521"/>
      <c r="B179" s="521">
        <v>16</v>
      </c>
      <c r="C179" s="685">
        <v>75.628</v>
      </c>
      <c r="D179" s="685">
        <v>45.396999999999998</v>
      </c>
      <c r="E179" s="685"/>
      <c r="F179" s="685">
        <v>14.249000000000001</v>
      </c>
      <c r="G179" s="685">
        <v>34.332999999999998</v>
      </c>
      <c r="H179" s="685">
        <v>1.476</v>
      </c>
      <c r="I179" s="521"/>
      <c r="J179" s="522"/>
      <c r="K179" s="521">
        <v>16</v>
      </c>
      <c r="L179" s="685">
        <v>-22.802</v>
      </c>
      <c r="M179" s="685">
        <v>-110.18600000000001</v>
      </c>
      <c r="N179" s="685"/>
      <c r="O179" s="685">
        <v>-433.08199999999999</v>
      </c>
      <c r="P179" s="685">
        <v>-11.987</v>
      </c>
      <c r="Q179" s="685">
        <v>0</v>
      </c>
    </row>
    <row r="180" spans="1:17" ht="15" customHeight="1">
      <c r="A180" s="881"/>
      <c r="B180" s="881">
        <v>17</v>
      </c>
      <c r="C180" s="882">
        <v>26.766999999999999</v>
      </c>
      <c r="D180" s="882">
        <v>22.120999999999999</v>
      </c>
      <c r="E180" s="882"/>
      <c r="F180" s="882">
        <v>2.5129999999999999</v>
      </c>
      <c r="G180" s="882">
        <v>32.067</v>
      </c>
      <c r="H180" s="882">
        <v>4.5330000000000004</v>
      </c>
      <c r="I180" s="881"/>
      <c r="J180" s="887"/>
      <c r="K180" s="881">
        <v>17</v>
      </c>
      <c r="L180" s="882">
        <v>-69.391999999999996</v>
      </c>
      <c r="M180" s="882">
        <v>-137.52699999999999</v>
      </c>
      <c r="N180" s="882"/>
      <c r="O180" s="882">
        <v>-373.45699999999999</v>
      </c>
      <c r="P180" s="882">
        <v>-14.837</v>
      </c>
      <c r="Q180" s="882">
        <v>-1.863</v>
      </c>
    </row>
    <row r="181" spans="1:17" ht="15" customHeight="1">
      <c r="A181" s="521"/>
      <c r="B181" s="521">
        <v>18</v>
      </c>
      <c r="C181" s="685">
        <v>42.771000000000001</v>
      </c>
      <c r="D181" s="685">
        <v>28.824000000000002</v>
      </c>
      <c r="E181" s="685"/>
      <c r="F181" s="685">
        <v>1.673</v>
      </c>
      <c r="G181" s="685">
        <v>38.283000000000001</v>
      </c>
      <c r="H181" s="685">
        <v>12.91</v>
      </c>
      <c r="I181" s="521"/>
      <c r="J181" s="522"/>
      <c r="K181" s="521">
        <v>18</v>
      </c>
      <c r="L181" s="685">
        <v>-46.662999999999997</v>
      </c>
      <c r="M181" s="685">
        <v>-75.620999999999995</v>
      </c>
      <c r="N181" s="685"/>
      <c r="O181" s="685">
        <v>-429.98899999999998</v>
      </c>
      <c r="P181" s="685">
        <v>-4.9660000000000002</v>
      </c>
      <c r="Q181" s="685">
        <v>-5.7039999999999997</v>
      </c>
    </row>
    <row r="182" spans="1:17" ht="15" customHeight="1">
      <c r="A182" s="881"/>
      <c r="B182" s="881">
        <v>19</v>
      </c>
      <c r="C182" s="882">
        <v>60.274999999999999</v>
      </c>
      <c r="D182" s="882">
        <v>33.06</v>
      </c>
      <c r="E182" s="882"/>
      <c r="F182" s="882">
        <v>12.061</v>
      </c>
      <c r="G182" s="882">
        <v>51.594999999999999</v>
      </c>
      <c r="H182" s="882">
        <v>11.694000000000001</v>
      </c>
      <c r="I182" s="881"/>
      <c r="J182" s="887"/>
      <c r="K182" s="881">
        <v>19</v>
      </c>
      <c r="L182" s="882">
        <v>-54.216000000000001</v>
      </c>
      <c r="M182" s="882">
        <v>-106.187</v>
      </c>
      <c r="N182" s="882"/>
      <c r="O182" s="882">
        <v>-299.70299999999997</v>
      </c>
      <c r="P182" s="882">
        <v>-1.6559999999999999</v>
      </c>
      <c r="Q182" s="882">
        <v>-15.532</v>
      </c>
    </row>
    <row r="183" spans="1:17" ht="15" customHeight="1">
      <c r="A183" s="521"/>
      <c r="B183" s="521">
        <v>20</v>
      </c>
      <c r="C183" s="685">
        <v>55.579000000000001</v>
      </c>
      <c r="D183" s="685">
        <v>6.165</v>
      </c>
      <c r="E183" s="685"/>
      <c r="F183" s="685">
        <v>148.94999999999999</v>
      </c>
      <c r="G183" s="685">
        <v>45.798999999999999</v>
      </c>
      <c r="H183" s="685">
        <v>10.377000000000001</v>
      </c>
      <c r="I183" s="521"/>
      <c r="J183" s="522"/>
      <c r="K183" s="521">
        <v>20</v>
      </c>
      <c r="L183" s="685">
        <v>-51.320999999999998</v>
      </c>
      <c r="M183" s="685">
        <v>-288.83600000000001</v>
      </c>
      <c r="N183" s="685"/>
      <c r="O183" s="685">
        <v>-106.645</v>
      </c>
      <c r="P183" s="685">
        <v>-12.438000000000001</v>
      </c>
      <c r="Q183" s="685">
        <v>-18.422000000000001</v>
      </c>
    </row>
    <row r="184" spans="1:17" ht="15" customHeight="1">
      <c r="A184" s="881"/>
      <c r="B184" s="881">
        <v>21</v>
      </c>
      <c r="C184" s="882">
        <v>55.018999999999998</v>
      </c>
      <c r="D184" s="882">
        <v>11.792999999999999</v>
      </c>
      <c r="E184" s="882"/>
      <c r="F184" s="882">
        <v>234.25800000000001</v>
      </c>
      <c r="G184" s="882">
        <v>22.791</v>
      </c>
      <c r="H184" s="882">
        <v>8.9440000000000008</v>
      </c>
      <c r="I184" s="881"/>
      <c r="J184" s="887"/>
      <c r="K184" s="881">
        <v>21</v>
      </c>
      <c r="L184" s="882">
        <v>-73.334000000000003</v>
      </c>
      <c r="M184" s="882">
        <v>-188.21100000000001</v>
      </c>
      <c r="N184" s="882"/>
      <c r="O184" s="882">
        <v>-51.598999999999997</v>
      </c>
      <c r="P184" s="882">
        <v>-21.276</v>
      </c>
      <c r="Q184" s="882">
        <v>-16.221</v>
      </c>
    </row>
    <row r="185" spans="1:17" ht="15" customHeight="1">
      <c r="A185" s="521"/>
      <c r="B185" s="521">
        <v>22</v>
      </c>
      <c r="C185" s="685">
        <v>20.652000000000001</v>
      </c>
      <c r="D185" s="685">
        <v>6.2249999999999996</v>
      </c>
      <c r="E185" s="685"/>
      <c r="F185" s="685">
        <v>346.85899999999998</v>
      </c>
      <c r="G185" s="685">
        <v>25.791</v>
      </c>
      <c r="H185" s="685">
        <v>19.013000000000002</v>
      </c>
      <c r="I185" s="521"/>
      <c r="J185" s="522"/>
      <c r="K185" s="521">
        <v>22</v>
      </c>
      <c r="L185" s="685">
        <v>-60.433999999999997</v>
      </c>
      <c r="M185" s="685">
        <v>-322.75599999999997</v>
      </c>
      <c r="N185" s="685"/>
      <c r="O185" s="685">
        <v>-12.09</v>
      </c>
      <c r="P185" s="685">
        <v>-21.41</v>
      </c>
      <c r="Q185" s="685">
        <v>-4.47</v>
      </c>
    </row>
    <row r="186" spans="1:17" ht="15" customHeight="1">
      <c r="A186" s="881"/>
      <c r="B186" s="881">
        <v>23</v>
      </c>
      <c r="C186" s="882">
        <v>55.707999999999998</v>
      </c>
      <c r="D186" s="882">
        <v>2.133</v>
      </c>
      <c r="E186" s="882"/>
      <c r="F186" s="882">
        <v>321.36099999999999</v>
      </c>
      <c r="G186" s="882">
        <v>44.277000000000001</v>
      </c>
      <c r="H186" s="882">
        <v>21.308</v>
      </c>
      <c r="I186" s="881"/>
      <c r="J186" s="887"/>
      <c r="K186" s="881">
        <v>23</v>
      </c>
      <c r="L186" s="882">
        <v>-59.753</v>
      </c>
      <c r="M186" s="882">
        <v>-314.30099999999999</v>
      </c>
      <c r="N186" s="882"/>
      <c r="O186" s="882">
        <v>-48.97</v>
      </c>
      <c r="P186" s="882">
        <v>-13.457000000000001</v>
      </c>
      <c r="Q186" s="882">
        <v>-5.7370000000000001</v>
      </c>
    </row>
    <row r="187" spans="1:17" ht="15" customHeight="1">
      <c r="B187" s="521">
        <v>24</v>
      </c>
      <c r="C187" s="685">
        <v>110.28</v>
      </c>
      <c r="D187" s="685">
        <v>3.4980000000000002</v>
      </c>
      <c r="E187" s="685"/>
      <c r="F187" s="685">
        <v>258.42899999999997</v>
      </c>
      <c r="G187" s="685">
        <v>43.517000000000003</v>
      </c>
      <c r="H187" s="685">
        <v>11.708</v>
      </c>
      <c r="I187" s="521"/>
      <c r="J187" s="522"/>
      <c r="K187" s="521">
        <v>24</v>
      </c>
      <c r="L187" s="685">
        <v>-20.808</v>
      </c>
      <c r="M187" s="685">
        <v>-288.23099999999999</v>
      </c>
      <c r="N187" s="685"/>
      <c r="O187" s="685">
        <v>-72.338999999999999</v>
      </c>
      <c r="P187" s="685">
        <v>-2.0310000000000001</v>
      </c>
      <c r="Q187" s="685">
        <v>-9.8610000000000007</v>
      </c>
    </row>
    <row r="188" spans="1:17" ht="15" customHeight="1">
      <c r="A188" s="885"/>
      <c r="B188" s="881">
        <v>25</v>
      </c>
      <c r="C188" s="882">
        <v>44.637999999999998</v>
      </c>
      <c r="D188" s="882">
        <v>12.494999999999999</v>
      </c>
      <c r="E188" s="882"/>
      <c r="F188" s="882">
        <v>90.974000000000004</v>
      </c>
      <c r="G188" s="882">
        <v>23.184999999999999</v>
      </c>
      <c r="H188" s="882">
        <v>3.4889999999999999</v>
      </c>
      <c r="I188" s="881"/>
      <c r="J188" s="887"/>
      <c r="K188" s="881">
        <v>25</v>
      </c>
      <c r="L188" s="882">
        <v>-77.034999999999997</v>
      </c>
      <c r="M188" s="882">
        <v>-166.892</v>
      </c>
      <c r="N188" s="882"/>
      <c r="O188" s="882">
        <v>-139.941</v>
      </c>
      <c r="P188" s="882">
        <v>-10.614000000000001</v>
      </c>
      <c r="Q188" s="882">
        <v>-39.750999999999998</v>
      </c>
    </row>
    <row r="189" spans="1:17" ht="15" customHeight="1">
      <c r="B189" s="521">
        <v>26</v>
      </c>
      <c r="C189" s="685">
        <v>46.82</v>
      </c>
      <c r="D189" s="685">
        <v>3.081</v>
      </c>
      <c r="E189" s="685"/>
      <c r="F189" s="685">
        <v>187.238</v>
      </c>
      <c r="G189" s="685">
        <v>19.045999999999999</v>
      </c>
      <c r="H189" s="685">
        <v>0.74099999999999999</v>
      </c>
      <c r="I189" s="521"/>
      <c r="J189" s="522"/>
      <c r="K189" s="521">
        <v>26</v>
      </c>
      <c r="L189" s="685">
        <v>-68.319999999999993</v>
      </c>
      <c r="M189" s="685">
        <v>-358.447</v>
      </c>
      <c r="N189" s="685"/>
      <c r="O189" s="685">
        <v>-55.354999999999997</v>
      </c>
      <c r="P189" s="685">
        <v>-12.497999999999999</v>
      </c>
      <c r="Q189" s="685">
        <v>-45.436</v>
      </c>
    </row>
    <row r="190" spans="1:17" ht="15" customHeight="1">
      <c r="A190" s="885"/>
      <c r="B190" s="881">
        <v>27</v>
      </c>
      <c r="C190" s="882">
        <v>11.361000000000001</v>
      </c>
      <c r="D190" s="882">
        <v>3.5110000000000001</v>
      </c>
      <c r="E190" s="882"/>
      <c r="F190" s="882">
        <v>129.52000000000001</v>
      </c>
      <c r="G190" s="882">
        <v>13.648999999999999</v>
      </c>
      <c r="H190" s="882">
        <v>1.9610000000000001</v>
      </c>
      <c r="I190" s="881"/>
      <c r="J190" s="887"/>
      <c r="K190" s="881">
        <v>27</v>
      </c>
      <c r="L190" s="882">
        <v>-147.41499999999999</v>
      </c>
      <c r="M190" s="882">
        <v>-314.428</v>
      </c>
      <c r="N190" s="882"/>
      <c r="O190" s="882">
        <v>-76.042000000000002</v>
      </c>
      <c r="P190" s="882">
        <v>-29.085000000000001</v>
      </c>
      <c r="Q190" s="882">
        <v>-63.536000000000001</v>
      </c>
    </row>
    <row r="191" spans="1:17" ht="15" customHeight="1">
      <c r="B191" s="521">
        <v>28</v>
      </c>
      <c r="C191" s="685">
        <v>38.369999999999997</v>
      </c>
      <c r="D191" s="685">
        <v>1.256</v>
      </c>
      <c r="E191" s="685"/>
      <c r="F191" s="685">
        <v>183.84800000000001</v>
      </c>
      <c r="G191" s="685">
        <v>14.058999999999999</v>
      </c>
      <c r="H191" s="685">
        <v>2.0790000000000002</v>
      </c>
      <c r="I191" s="521"/>
      <c r="J191" s="522"/>
      <c r="K191" s="521">
        <v>28</v>
      </c>
      <c r="L191" s="685">
        <v>-134.46700000000001</v>
      </c>
      <c r="M191" s="685">
        <v>-367.78</v>
      </c>
      <c r="N191" s="685"/>
      <c r="O191" s="685">
        <v>-55.802999999999997</v>
      </c>
      <c r="P191" s="685">
        <v>-31.916</v>
      </c>
      <c r="Q191" s="685">
        <v>-44.703000000000003</v>
      </c>
    </row>
    <row r="192" spans="1:17" ht="15" customHeight="1">
      <c r="A192" s="885"/>
      <c r="B192" s="881">
        <v>29</v>
      </c>
      <c r="C192" s="882">
        <v>40.584000000000003</v>
      </c>
      <c r="D192" s="882">
        <v>0.33500000000000002</v>
      </c>
      <c r="E192" s="882"/>
      <c r="F192" s="882">
        <v>248.60499999999999</v>
      </c>
      <c r="G192" s="882">
        <v>0.43099999999999999</v>
      </c>
      <c r="H192" s="882">
        <v>9.609</v>
      </c>
      <c r="I192" s="881"/>
      <c r="J192" s="887"/>
      <c r="K192" s="881">
        <v>29</v>
      </c>
      <c r="L192" s="882">
        <v>-113.175</v>
      </c>
      <c r="M192" s="882">
        <v>-404.09100000000001</v>
      </c>
      <c r="N192" s="882"/>
      <c r="O192" s="882">
        <v>-19.995000000000001</v>
      </c>
      <c r="P192" s="882">
        <v>-31.085000000000001</v>
      </c>
      <c r="Q192" s="882">
        <v>-35.017000000000003</v>
      </c>
    </row>
    <row r="193" spans="1:17" ht="15" customHeight="1">
      <c r="B193" s="521">
        <v>30</v>
      </c>
      <c r="C193" s="685">
        <v>44.951999999999998</v>
      </c>
      <c r="D193" s="685">
        <v>1.7270000000000001</v>
      </c>
      <c r="E193" s="685"/>
      <c r="F193" s="685">
        <v>278.98</v>
      </c>
      <c r="G193" s="685">
        <v>0</v>
      </c>
      <c r="H193" s="685">
        <v>10.212</v>
      </c>
      <c r="I193" s="521"/>
      <c r="J193" s="522"/>
      <c r="K193" s="521">
        <v>30</v>
      </c>
      <c r="L193" s="685">
        <v>-164.41</v>
      </c>
      <c r="M193" s="685">
        <v>-324.04500000000002</v>
      </c>
      <c r="N193" s="685"/>
      <c r="O193" s="685">
        <v>-26.353999999999999</v>
      </c>
      <c r="P193" s="685">
        <v>0</v>
      </c>
      <c r="Q193" s="685">
        <v>-49.468000000000004</v>
      </c>
    </row>
    <row r="194" spans="1:17" ht="15" customHeight="1">
      <c r="A194" s="885"/>
      <c r="B194" s="881">
        <v>31</v>
      </c>
      <c r="C194" s="882">
        <v>67.680000000000007</v>
      </c>
      <c r="D194" s="882">
        <v>1.022</v>
      </c>
      <c r="E194" s="882"/>
      <c r="F194" s="882">
        <v>351.27</v>
      </c>
      <c r="G194" s="882">
        <v>0</v>
      </c>
      <c r="H194" s="882">
        <v>5.97</v>
      </c>
      <c r="I194" s="881"/>
      <c r="J194" s="887"/>
      <c r="K194" s="881">
        <v>31</v>
      </c>
      <c r="L194" s="882">
        <v>-115.544</v>
      </c>
      <c r="M194" s="882">
        <v>-397.416</v>
      </c>
      <c r="N194" s="882"/>
      <c r="O194" s="882">
        <v>-16.155999999999999</v>
      </c>
      <c r="P194" s="882">
        <v>0</v>
      </c>
      <c r="Q194" s="882">
        <v>-56.326000000000001</v>
      </c>
    </row>
    <row r="195" spans="1:17" ht="15" customHeight="1">
      <c r="B195" s="521">
        <v>32</v>
      </c>
      <c r="C195" s="685">
        <v>93.352000000000004</v>
      </c>
      <c r="D195" s="685">
        <v>1.454</v>
      </c>
      <c r="E195" s="685"/>
      <c r="F195" s="685">
        <v>378.28800000000001</v>
      </c>
      <c r="G195" s="685">
        <v>0</v>
      </c>
      <c r="H195" s="685">
        <v>4.8769999999999998</v>
      </c>
      <c r="I195" s="521"/>
      <c r="J195" s="522"/>
      <c r="K195" s="521">
        <v>32</v>
      </c>
      <c r="L195" s="685">
        <v>-70.938999999999993</v>
      </c>
      <c r="M195" s="685">
        <v>-383.71899999999999</v>
      </c>
      <c r="N195" s="685"/>
      <c r="O195" s="685">
        <v>-4.8029999999999999</v>
      </c>
      <c r="P195" s="685">
        <v>0</v>
      </c>
      <c r="Q195" s="685">
        <v>-36.369999999999997</v>
      </c>
    </row>
    <row r="196" spans="1:17" ht="15" customHeight="1">
      <c r="A196" s="885"/>
      <c r="B196" s="881">
        <v>33</v>
      </c>
      <c r="C196" s="882">
        <v>113.253</v>
      </c>
      <c r="D196" s="882">
        <v>2.512</v>
      </c>
      <c r="E196" s="882"/>
      <c r="F196" s="882">
        <v>360.79700000000003</v>
      </c>
      <c r="G196" s="882">
        <v>0</v>
      </c>
      <c r="H196" s="882">
        <v>13.632999999999999</v>
      </c>
      <c r="I196" s="881"/>
      <c r="J196" s="887"/>
      <c r="K196" s="881">
        <v>33</v>
      </c>
      <c r="L196" s="882">
        <v>-38.688000000000002</v>
      </c>
      <c r="M196" s="882">
        <v>-364.21600000000001</v>
      </c>
      <c r="N196" s="882"/>
      <c r="O196" s="882">
        <v>-4.1040000000000001</v>
      </c>
      <c r="P196" s="882">
        <v>0</v>
      </c>
      <c r="Q196" s="882">
        <v>-16.923999999999999</v>
      </c>
    </row>
    <row r="197" spans="1:17" ht="15" customHeight="1">
      <c r="B197" s="521">
        <v>34</v>
      </c>
      <c r="C197" s="685">
        <v>65.522999999999996</v>
      </c>
      <c r="D197" s="685">
        <v>3.37</v>
      </c>
      <c r="E197" s="685"/>
      <c r="F197" s="685">
        <v>256.61700000000002</v>
      </c>
      <c r="G197" s="685">
        <v>0</v>
      </c>
      <c r="H197" s="685">
        <v>15.734</v>
      </c>
      <c r="I197" s="521"/>
      <c r="J197" s="522"/>
      <c r="K197" s="521">
        <v>34</v>
      </c>
      <c r="L197" s="685">
        <v>-42.720999999999997</v>
      </c>
      <c r="M197" s="685">
        <v>-335.245</v>
      </c>
      <c r="N197" s="685"/>
      <c r="O197" s="685">
        <v>-1.714</v>
      </c>
      <c r="P197" s="685">
        <v>0</v>
      </c>
      <c r="Q197" s="685">
        <v>-2.8220000000000001</v>
      </c>
    </row>
    <row r="198" spans="1:17" ht="15" customHeight="1">
      <c r="A198" s="885"/>
      <c r="B198" s="881">
        <v>35</v>
      </c>
      <c r="C198" s="882">
        <v>63.134</v>
      </c>
      <c r="D198" s="882">
        <v>5.57</v>
      </c>
      <c r="E198" s="882"/>
      <c r="F198" s="882">
        <v>242.61199999999999</v>
      </c>
      <c r="G198" s="882">
        <v>0</v>
      </c>
      <c r="H198" s="882">
        <v>16.190999999999999</v>
      </c>
      <c r="I198" s="881"/>
      <c r="J198" s="887"/>
      <c r="K198" s="881">
        <v>35</v>
      </c>
      <c r="L198" s="882">
        <v>-72.927999999999997</v>
      </c>
      <c r="M198" s="882">
        <v>-308.35700000000003</v>
      </c>
      <c r="N198" s="882"/>
      <c r="O198" s="882">
        <v>-11.941000000000001</v>
      </c>
      <c r="P198" s="882">
        <v>0</v>
      </c>
      <c r="Q198" s="882">
        <v>-3.4329999999999998</v>
      </c>
    </row>
    <row r="199" spans="1:17" ht="15" customHeight="1">
      <c r="B199" s="521">
        <v>36</v>
      </c>
      <c r="C199" s="685">
        <v>81.171000000000006</v>
      </c>
      <c r="D199" s="685">
        <v>9.43</v>
      </c>
      <c r="E199" s="685"/>
      <c r="F199" s="685">
        <v>218.80199999999999</v>
      </c>
      <c r="G199" s="685">
        <v>0</v>
      </c>
      <c r="H199" s="685">
        <v>18.93</v>
      </c>
      <c r="I199" s="521"/>
      <c r="J199" s="522"/>
      <c r="K199" s="521">
        <v>36</v>
      </c>
      <c r="L199" s="685">
        <v>-49.67</v>
      </c>
      <c r="M199" s="685">
        <v>-279.41000000000003</v>
      </c>
      <c r="N199" s="685"/>
      <c r="O199" s="685">
        <v>-15.05</v>
      </c>
      <c r="P199" s="685">
        <v>0</v>
      </c>
      <c r="Q199" s="685">
        <v>-4.3810000000000002</v>
      </c>
    </row>
    <row r="200" spans="1:17" ht="15" customHeight="1">
      <c r="A200" s="885"/>
      <c r="B200" s="881">
        <v>37</v>
      </c>
      <c r="C200" s="882">
        <v>92.278000000000006</v>
      </c>
      <c r="D200" s="882">
        <v>7.27</v>
      </c>
      <c r="E200" s="882"/>
      <c r="F200" s="882">
        <v>248.892</v>
      </c>
      <c r="G200" s="882">
        <v>0</v>
      </c>
      <c r="H200" s="882">
        <v>21.311</v>
      </c>
      <c r="I200" s="881"/>
      <c r="J200" s="887"/>
      <c r="K200" s="881">
        <v>37</v>
      </c>
      <c r="L200" s="882">
        <v>-23.61</v>
      </c>
      <c r="M200" s="882">
        <v>-342.37700000000001</v>
      </c>
      <c r="N200" s="882"/>
      <c r="O200" s="882">
        <v>-8.3979999999999997</v>
      </c>
      <c r="P200" s="882">
        <v>0</v>
      </c>
      <c r="Q200" s="882">
        <v>-1.7969999999999999</v>
      </c>
    </row>
    <row r="201" spans="1:17" ht="15" customHeight="1">
      <c r="B201" s="521">
        <v>38</v>
      </c>
      <c r="C201" s="685">
        <v>51.954000000000001</v>
      </c>
      <c r="D201" s="685">
        <v>4.875</v>
      </c>
      <c r="E201" s="685"/>
      <c r="F201" s="685">
        <v>153.68600000000001</v>
      </c>
      <c r="G201" s="685">
        <v>13.65</v>
      </c>
      <c r="H201" s="685">
        <v>20.32</v>
      </c>
      <c r="I201" s="521"/>
      <c r="J201" s="522"/>
      <c r="K201" s="521">
        <v>38</v>
      </c>
      <c r="L201" s="685">
        <v>-32.003999999999998</v>
      </c>
      <c r="M201" s="685">
        <v>-263.23500000000001</v>
      </c>
      <c r="N201" s="685"/>
      <c r="O201" s="685">
        <v>-59.067999999999998</v>
      </c>
      <c r="P201" s="685">
        <v>-1.647</v>
      </c>
      <c r="Q201" s="685">
        <v>-5.4870000000000001</v>
      </c>
    </row>
    <row r="202" spans="1:17" ht="15" customHeight="1">
      <c r="A202" s="885"/>
      <c r="B202" s="881">
        <v>39</v>
      </c>
      <c r="C202" s="882">
        <v>53.030999999999999</v>
      </c>
      <c r="D202" s="882">
        <v>9.0489999999999995</v>
      </c>
      <c r="E202" s="882"/>
      <c r="F202" s="882">
        <v>120.90300000000001</v>
      </c>
      <c r="G202" s="882">
        <v>18.695</v>
      </c>
      <c r="H202" s="882">
        <v>17.45</v>
      </c>
      <c r="I202" s="881"/>
      <c r="J202" s="887"/>
      <c r="K202" s="881">
        <v>39</v>
      </c>
      <c r="L202" s="882">
        <v>-57.947000000000003</v>
      </c>
      <c r="M202" s="882">
        <v>-179.922</v>
      </c>
      <c r="N202" s="882"/>
      <c r="O202" s="882">
        <v>-86.459000000000003</v>
      </c>
      <c r="P202" s="882">
        <v>-23.327999999999999</v>
      </c>
      <c r="Q202" s="882">
        <v>-1.9530000000000001</v>
      </c>
    </row>
    <row r="203" spans="1:17" ht="15" customHeight="1">
      <c r="B203" s="521">
        <v>40</v>
      </c>
      <c r="C203" s="685">
        <v>92.751000000000005</v>
      </c>
      <c r="D203" s="685">
        <v>6.4740000000000002</v>
      </c>
      <c r="E203" s="685"/>
      <c r="F203" s="685">
        <v>106.866</v>
      </c>
      <c r="G203" s="685">
        <v>34.207000000000001</v>
      </c>
      <c r="H203" s="685">
        <v>21.742000000000001</v>
      </c>
      <c r="I203" s="521"/>
      <c r="J203" s="522"/>
      <c r="K203" s="521">
        <v>40</v>
      </c>
      <c r="L203" s="685">
        <v>-36.235999999999997</v>
      </c>
      <c r="M203" s="685">
        <v>-198.435</v>
      </c>
      <c r="N203" s="685"/>
      <c r="O203" s="685">
        <v>-98.51</v>
      </c>
      <c r="P203" s="685">
        <v>-9.6509999999999998</v>
      </c>
      <c r="Q203" s="685">
        <v>-2.8330000000000002</v>
      </c>
    </row>
    <row r="204" spans="1:17" ht="15" customHeight="1">
      <c r="A204" s="885"/>
      <c r="B204" s="881">
        <v>41</v>
      </c>
      <c r="C204" s="882">
        <v>65.013000000000005</v>
      </c>
      <c r="D204" s="882">
        <v>5.2830000000000004</v>
      </c>
      <c r="E204" s="882"/>
      <c r="F204" s="882">
        <v>101.04300000000001</v>
      </c>
      <c r="G204" s="882">
        <v>12.135999999999999</v>
      </c>
      <c r="H204" s="882">
        <v>18.123000000000001</v>
      </c>
      <c r="I204" s="881"/>
      <c r="J204" s="887"/>
      <c r="K204" s="881">
        <v>41</v>
      </c>
      <c r="L204" s="882">
        <v>-71.959999999999994</v>
      </c>
      <c r="M204" s="882">
        <v>-215.74</v>
      </c>
      <c r="N204" s="882"/>
      <c r="O204" s="882">
        <v>-76.715999999999994</v>
      </c>
      <c r="P204" s="882">
        <v>-47.110999999999997</v>
      </c>
      <c r="Q204" s="882">
        <v>-13.103999999999999</v>
      </c>
    </row>
    <row r="205" spans="1:17" ht="15" customHeight="1">
      <c r="B205" s="521">
        <v>42</v>
      </c>
      <c r="C205" s="685">
        <v>115.36</v>
      </c>
      <c r="D205" s="685">
        <v>5.3250000000000002</v>
      </c>
      <c r="E205" s="685"/>
      <c r="F205" s="685">
        <v>100.952</v>
      </c>
      <c r="G205" s="685">
        <v>13.395</v>
      </c>
      <c r="H205" s="685">
        <v>22.192</v>
      </c>
      <c r="I205" s="521"/>
      <c r="J205" s="522"/>
      <c r="K205" s="521">
        <v>42</v>
      </c>
      <c r="L205" s="685">
        <v>-18.338000000000001</v>
      </c>
      <c r="M205" s="685">
        <v>-189.43600000000001</v>
      </c>
      <c r="N205" s="685"/>
      <c r="O205" s="685">
        <v>-57.777000000000001</v>
      </c>
      <c r="P205" s="685">
        <v>-3.3039999999999998</v>
      </c>
      <c r="Q205" s="685">
        <v>-0.13900000000000001</v>
      </c>
    </row>
    <row r="206" spans="1:17" ht="15" customHeight="1">
      <c r="A206" s="885"/>
      <c r="B206" s="881">
        <v>43</v>
      </c>
      <c r="C206" s="882">
        <v>174.126</v>
      </c>
      <c r="D206" s="882">
        <v>3.6579999999999999</v>
      </c>
      <c r="E206" s="882"/>
      <c r="F206" s="882">
        <v>78.123999999999995</v>
      </c>
      <c r="G206" s="882">
        <v>46.195999999999998</v>
      </c>
      <c r="H206" s="882">
        <v>22.405999999999999</v>
      </c>
      <c r="I206" s="881"/>
      <c r="J206" s="887"/>
      <c r="K206" s="881">
        <v>43</v>
      </c>
      <c r="L206" s="882">
        <v>-12.916</v>
      </c>
      <c r="M206" s="882">
        <v>-276.07499999999999</v>
      </c>
      <c r="N206" s="882"/>
      <c r="O206" s="882">
        <v>-95.492000000000004</v>
      </c>
      <c r="P206" s="882">
        <v>-7.1459999999999999</v>
      </c>
      <c r="Q206" s="882">
        <v>-0.189</v>
      </c>
    </row>
    <row r="207" spans="1:17" ht="15" customHeight="1">
      <c r="B207" s="521">
        <v>44</v>
      </c>
      <c r="C207" s="685">
        <v>163.476</v>
      </c>
      <c r="D207" s="685">
        <v>5.6449999999999996</v>
      </c>
      <c r="E207" s="685"/>
      <c r="F207" s="685">
        <v>78.876000000000005</v>
      </c>
      <c r="G207" s="685">
        <v>22.305</v>
      </c>
      <c r="H207" s="685">
        <v>8.2590000000000003</v>
      </c>
      <c r="I207" s="521"/>
      <c r="J207" s="522"/>
      <c r="K207" s="521">
        <v>44</v>
      </c>
      <c r="L207" s="685">
        <v>-23.059000000000001</v>
      </c>
      <c r="M207" s="685">
        <v>-274.14699999999999</v>
      </c>
      <c r="N207" s="685"/>
      <c r="O207" s="685">
        <v>-137.22300000000001</v>
      </c>
      <c r="P207" s="685">
        <v>-14.042</v>
      </c>
      <c r="Q207" s="685">
        <v>-5.7290000000000001</v>
      </c>
    </row>
    <row r="208" spans="1:17" ht="15" customHeight="1">
      <c r="A208" s="885"/>
      <c r="B208" s="881">
        <v>45</v>
      </c>
      <c r="C208" s="882">
        <v>141.143</v>
      </c>
      <c r="D208" s="882">
        <v>5.3940000000000001</v>
      </c>
      <c r="E208" s="882"/>
      <c r="F208" s="882">
        <v>80.677999999999997</v>
      </c>
      <c r="G208" s="882">
        <v>36.75</v>
      </c>
      <c r="H208" s="882">
        <v>10.912000000000001</v>
      </c>
      <c r="I208" s="881"/>
      <c r="J208" s="887"/>
      <c r="K208" s="881">
        <v>45</v>
      </c>
      <c r="L208" s="882">
        <v>-41.475000000000001</v>
      </c>
      <c r="M208" s="882">
        <v>-255.78200000000001</v>
      </c>
      <c r="N208" s="882"/>
      <c r="O208" s="882">
        <v>-124.042</v>
      </c>
      <c r="P208" s="882">
        <v>-15.333</v>
      </c>
      <c r="Q208" s="882">
        <v>0</v>
      </c>
    </row>
    <row r="209" spans="1:20" ht="15" customHeight="1">
      <c r="B209" s="521">
        <v>46</v>
      </c>
      <c r="C209" s="685">
        <v>61.707999999999998</v>
      </c>
      <c r="D209" s="685">
        <v>2.9329999999999998</v>
      </c>
      <c r="E209" s="685"/>
      <c r="F209" s="685">
        <v>200.88200000000001</v>
      </c>
      <c r="G209" s="685">
        <v>10.871</v>
      </c>
      <c r="H209" s="685">
        <v>15.661</v>
      </c>
      <c r="I209" s="521"/>
      <c r="J209" s="522"/>
      <c r="K209" s="521">
        <v>46</v>
      </c>
      <c r="L209" s="685">
        <v>-86.539000000000001</v>
      </c>
      <c r="M209" s="685">
        <v>-286.22500000000002</v>
      </c>
      <c r="N209" s="685"/>
      <c r="O209" s="685">
        <v>-117.217</v>
      </c>
      <c r="P209" s="685">
        <v>-23.911999999999999</v>
      </c>
      <c r="Q209" s="685">
        <v>-22.309000000000001</v>
      </c>
    </row>
    <row r="210" spans="1:20" ht="15" customHeight="1">
      <c r="A210" s="885"/>
      <c r="B210" s="881">
        <v>47</v>
      </c>
      <c r="C210" s="882">
        <v>75.924999999999997</v>
      </c>
      <c r="D210" s="882">
        <v>2.8109999999999999</v>
      </c>
      <c r="E210" s="882"/>
      <c r="F210" s="882">
        <v>238.85599999999999</v>
      </c>
      <c r="G210" s="882">
        <v>19.602</v>
      </c>
      <c r="H210" s="882">
        <v>17.181999999999999</v>
      </c>
      <c r="I210" s="881"/>
      <c r="J210" s="887"/>
      <c r="K210" s="881">
        <v>47</v>
      </c>
      <c r="L210" s="882">
        <v>-80.152000000000001</v>
      </c>
      <c r="M210" s="882">
        <v>-280.27300000000002</v>
      </c>
      <c r="N210" s="882"/>
      <c r="O210" s="882">
        <v>-80.707999999999998</v>
      </c>
      <c r="P210" s="882">
        <v>-34.624000000000002</v>
      </c>
      <c r="Q210" s="882">
        <v>-17.163</v>
      </c>
    </row>
    <row r="211" spans="1:20" ht="15" customHeight="1">
      <c r="B211" s="521">
        <v>48</v>
      </c>
      <c r="C211" s="685">
        <v>107.255</v>
      </c>
      <c r="D211" s="685">
        <v>5.4169999999999998</v>
      </c>
      <c r="E211" s="685"/>
      <c r="F211" s="685">
        <v>286.82900000000001</v>
      </c>
      <c r="G211" s="685">
        <v>14.848000000000001</v>
      </c>
      <c r="H211" s="685">
        <v>22.245000000000001</v>
      </c>
      <c r="I211" s="521"/>
      <c r="J211" s="522"/>
      <c r="K211" s="521">
        <v>48</v>
      </c>
      <c r="L211" s="685">
        <v>-62.274000000000001</v>
      </c>
      <c r="M211" s="685">
        <v>-289.71899999999999</v>
      </c>
      <c r="N211" s="685"/>
      <c r="O211" s="685">
        <v>-47.691000000000003</v>
      </c>
      <c r="P211" s="685">
        <v>-16.236000000000001</v>
      </c>
      <c r="Q211" s="685">
        <v>-6.2990000000000004</v>
      </c>
    </row>
    <row r="212" spans="1:20" ht="15" customHeight="1">
      <c r="A212" s="885"/>
      <c r="B212" s="881">
        <v>49</v>
      </c>
      <c r="C212" s="882">
        <v>86.665000000000006</v>
      </c>
      <c r="D212" s="882">
        <v>5.4749999999999996</v>
      </c>
      <c r="E212" s="882"/>
      <c r="F212" s="882">
        <v>275.89600000000002</v>
      </c>
      <c r="G212" s="882">
        <v>8.5</v>
      </c>
      <c r="H212" s="882">
        <v>11.526999999999999</v>
      </c>
      <c r="I212" s="881"/>
      <c r="J212" s="887"/>
      <c r="K212" s="881">
        <v>49</v>
      </c>
      <c r="L212" s="882">
        <v>-60.581000000000003</v>
      </c>
      <c r="M212" s="882">
        <v>-320.89100000000002</v>
      </c>
      <c r="N212" s="882"/>
      <c r="O212" s="882">
        <v>-46.972000000000001</v>
      </c>
      <c r="P212" s="882">
        <v>-36.978000000000002</v>
      </c>
      <c r="Q212" s="882">
        <v>-14.909000000000001</v>
      </c>
    </row>
    <row r="213" spans="1:20" ht="15" customHeight="1">
      <c r="B213" s="521">
        <v>50</v>
      </c>
      <c r="C213" s="685">
        <v>36.148000000000003</v>
      </c>
      <c r="D213" s="685">
        <v>3.8359999999999999</v>
      </c>
      <c r="E213" s="685"/>
      <c r="F213" s="685">
        <v>349.858</v>
      </c>
      <c r="G213" s="685">
        <v>4.1379999999999999</v>
      </c>
      <c r="H213" s="685">
        <v>6.5209999999999999</v>
      </c>
      <c r="I213" s="521"/>
      <c r="J213" s="522"/>
      <c r="K213" s="521">
        <v>50</v>
      </c>
      <c r="L213" s="685">
        <v>-101.676</v>
      </c>
      <c r="M213" s="685">
        <v>-241.54599999999999</v>
      </c>
      <c r="N213" s="685"/>
      <c r="O213" s="685">
        <v>-22.98</v>
      </c>
      <c r="P213" s="685">
        <v>-67.754999999999995</v>
      </c>
      <c r="Q213" s="685">
        <v>-35.850999999999999</v>
      </c>
    </row>
    <row r="214" spans="1:20" ht="15" customHeight="1">
      <c r="A214" s="885"/>
      <c r="B214" s="881">
        <v>51</v>
      </c>
      <c r="C214" s="882">
        <v>111.38500000000001</v>
      </c>
      <c r="D214" s="882">
        <v>2.956</v>
      </c>
      <c r="E214" s="882"/>
      <c r="F214" s="882">
        <v>221.107</v>
      </c>
      <c r="G214" s="882">
        <v>8.5980000000000008</v>
      </c>
      <c r="H214" s="882">
        <v>5.5250000000000004</v>
      </c>
      <c r="I214" s="881"/>
      <c r="J214" s="887"/>
      <c r="K214" s="881">
        <v>51</v>
      </c>
      <c r="L214" s="882">
        <v>-58.901000000000003</v>
      </c>
      <c r="M214" s="882">
        <v>-376.66500000000002</v>
      </c>
      <c r="N214" s="882"/>
      <c r="O214" s="882">
        <v>-81.734999999999999</v>
      </c>
      <c r="P214" s="882">
        <v>-44.759</v>
      </c>
      <c r="Q214" s="882">
        <v>-51.795000000000002</v>
      </c>
    </row>
    <row r="215" spans="1:20" ht="15" customHeight="1">
      <c r="B215" s="521">
        <v>52</v>
      </c>
      <c r="C215" s="685">
        <v>113.38</v>
      </c>
      <c r="D215" s="685">
        <v>7.0359999999999996</v>
      </c>
      <c r="E215" s="685"/>
      <c r="F215" s="685">
        <v>50.429000000000002</v>
      </c>
      <c r="G215" s="685">
        <v>14.163</v>
      </c>
      <c r="H215" s="685">
        <v>8.0719999999999992</v>
      </c>
      <c r="I215" s="521"/>
      <c r="J215" s="522"/>
      <c r="K215" s="521">
        <v>52</v>
      </c>
      <c r="L215" s="685">
        <v>-43.984000000000002</v>
      </c>
      <c r="M215" s="685">
        <v>-277.44200000000001</v>
      </c>
      <c r="N215" s="685"/>
      <c r="O215" s="685">
        <v>-206.30500000000001</v>
      </c>
      <c r="P215" s="685">
        <v>-30.870999999999999</v>
      </c>
      <c r="Q215" s="685">
        <v>-38.915999999999997</v>
      </c>
    </row>
    <row r="216" spans="1:20">
      <c r="A216" s="881">
        <v>2014</v>
      </c>
      <c r="B216" s="881">
        <v>1</v>
      </c>
      <c r="C216" s="882">
        <v>118.64400000000001</v>
      </c>
      <c r="D216" s="882">
        <v>2.431</v>
      </c>
      <c r="E216" s="882"/>
      <c r="F216" s="882">
        <v>88.049000000000007</v>
      </c>
      <c r="G216" s="882">
        <v>21.789000000000001</v>
      </c>
      <c r="H216" s="882">
        <v>11.693</v>
      </c>
      <c r="I216" s="881"/>
      <c r="J216" s="881">
        <v>2014</v>
      </c>
      <c r="K216" s="881">
        <v>1</v>
      </c>
      <c r="L216" s="882">
        <v>-47.335000000000001</v>
      </c>
      <c r="M216" s="882">
        <v>-392.31400000000002</v>
      </c>
      <c r="N216" s="882"/>
      <c r="O216" s="882">
        <v>-149.50200000000001</v>
      </c>
      <c r="P216" s="882">
        <v>-30.645</v>
      </c>
      <c r="Q216" s="882">
        <v>-56.436</v>
      </c>
      <c r="R216" s="521"/>
      <c r="S216" s="521"/>
      <c r="T216" s="521"/>
    </row>
    <row r="217" spans="1:20">
      <c r="A217" s="521"/>
      <c r="B217" s="521">
        <v>2</v>
      </c>
      <c r="C217" s="685">
        <v>127.41500000000001</v>
      </c>
      <c r="D217" s="685">
        <v>3.7410000000000001</v>
      </c>
      <c r="E217" s="685"/>
      <c r="F217" s="685">
        <v>155.767</v>
      </c>
      <c r="G217" s="685">
        <v>11.074</v>
      </c>
      <c r="H217" s="685">
        <v>4.1100000000000003</v>
      </c>
      <c r="I217" s="521"/>
      <c r="J217" s="521"/>
      <c r="K217" s="521">
        <v>2</v>
      </c>
      <c r="L217" s="685">
        <v>-37.414999999999999</v>
      </c>
      <c r="M217" s="685">
        <v>-390.65100000000001</v>
      </c>
      <c r="N217" s="685"/>
      <c r="O217" s="685">
        <v>-138.47399999999999</v>
      </c>
      <c r="P217" s="685">
        <v>-31.202000000000002</v>
      </c>
      <c r="Q217" s="685">
        <v>-57.563000000000002</v>
      </c>
      <c r="R217" s="521"/>
      <c r="S217" s="521"/>
      <c r="T217" s="521"/>
    </row>
    <row r="218" spans="1:20">
      <c r="A218" s="881"/>
      <c r="B218" s="881">
        <v>3</v>
      </c>
      <c r="C218" s="882">
        <v>133.25299999999999</v>
      </c>
      <c r="D218" s="882">
        <v>6.1669999999999998</v>
      </c>
      <c r="E218" s="882"/>
      <c r="F218" s="882">
        <v>282.077</v>
      </c>
      <c r="G218" s="882">
        <v>8.0150000000000006</v>
      </c>
      <c r="H218" s="882">
        <v>5.7110000000000003</v>
      </c>
      <c r="I218" s="881"/>
      <c r="J218" s="881"/>
      <c r="K218" s="881">
        <v>3</v>
      </c>
      <c r="L218" s="882">
        <v>-49.817</v>
      </c>
      <c r="M218" s="882">
        <v>-432.23399999999998</v>
      </c>
      <c r="N218" s="882"/>
      <c r="O218" s="882">
        <v>-53.954000000000001</v>
      </c>
      <c r="P218" s="882">
        <v>-49.305999999999997</v>
      </c>
      <c r="Q218" s="882">
        <v>-58.988999999999997</v>
      </c>
      <c r="R218" s="521"/>
      <c r="S218" s="521"/>
      <c r="T218" s="521"/>
    </row>
    <row r="219" spans="1:20">
      <c r="A219" s="521"/>
      <c r="B219" s="521">
        <v>4</v>
      </c>
      <c r="C219" s="685">
        <v>147.32400000000001</v>
      </c>
      <c r="D219" s="685">
        <v>5.7510000000000003</v>
      </c>
      <c r="E219" s="685"/>
      <c r="F219" s="685">
        <v>212.12200000000001</v>
      </c>
      <c r="G219" s="685">
        <v>5.75</v>
      </c>
      <c r="H219" s="685">
        <v>3.26</v>
      </c>
      <c r="I219" s="521"/>
      <c r="J219" s="521"/>
      <c r="K219" s="521">
        <v>4</v>
      </c>
      <c r="L219" s="685">
        <v>-39.298000000000002</v>
      </c>
      <c r="M219" s="685">
        <v>-390.21499999999997</v>
      </c>
      <c r="N219" s="685"/>
      <c r="O219" s="685">
        <v>-74.332999999999998</v>
      </c>
      <c r="P219" s="685">
        <v>-58.151000000000003</v>
      </c>
      <c r="Q219" s="685">
        <v>-55.877000000000002</v>
      </c>
      <c r="R219" s="521"/>
      <c r="S219" s="521"/>
      <c r="T219" s="521"/>
    </row>
    <row r="220" spans="1:20">
      <c r="A220" s="881"/>
      <c r="B220" s="881">
        <v>5</v>
      </c>
      <c r="C220" s="882">
        <v>139.18199999999999</v>
      </c>
      <c r="D220" s="882">
        <v>5.0289999999999999</v>
      </c>
      <c r="E220" s="882"/>
      <c r="F220" s="882">
        <v>146.154</v>
      </c>
      <c r="G220" s="882">
        <v>8.1519999999999992</v>
      </c>
      <c r="H220" s="882">
        <v>3.9790000000000001</v>
      </c>
      <c r="I220" s="881"/>
      <c r="J220" s="881"/>
      <c r="K220" s="881">
        <v>5</v>
      </c>
      <c r="L220" s="882">
        <v>-47.701000000000001</v>
      </c>
      <c r="M220" s="882">
        <v>-397.42700000000002</v>
      </c>
      <c r="N220" s="882"/>
      <c r="O220" s="882">
        <v>-99.207999999999998</v>
      </c>
      <c r="P220" s="882">
        <v>-48.207000000000001</v>
      </c>
      <c r="Q220" s="882">
        <v>-70.051000000000002</v>
      </c>
      <c r="R220" s="521"/>
      <c r="S220" s="521"/>
      <c r="T220" s="521"/>
    </row>
    <row r="221" spans="1:20">
      <c r="A221" s="521"/>
      <c r="B221" s="521">
        <v>6</v>
      </c>
      <c r="C221" s="685">
        <v>93.781999999999996</v>
      </c>
      <c r="D221" s="685">
        <v>2.5099999999999998</v>
      </c>
      <c r="E221" s="685"/>
      <c r="F221" s="685">
        <v>158.828</v>
      </c>
      <c r="G221" s="685">
        <v>14.589</v>
      </c>
      <c r="H221" s="685">
        <v>1.7669999999999999</v>
      </c>
      <c r="I221" s="521"/>
      <c r="J221" s="521"/>
      <c r="K221" s="521">
        <v>6</v>
      </c>
      <c r="L221" s="685">
        <v>-67.828000000000003</v>
      </c>
      <c r="M221" s="685">
        <v>-413.25400000000002</v>
      </c>
      <c r="N221" s="685"/>
      <c r="O221" s="685">
        <v>-159.65799999999999</v>
      </c>
      <c r="P221" s="685">
        <v>-38.158000000000001</v>
      </c>
      <c r="Q221" s="685">
        <v>-60.070999999999998</v>
      </c>
      <c r="R221" s="521"/>
      <c r="S221" s="521"/>
      <c r="T221" s="521"/>
    </row>
    <row r="222" spans="1:20">
      <c r="A222" s="881"/>
      <c r="B222" s="881">
        <v>7</v>
      </c>
      <c r="C222" s="882">
        <v>110.926</v>
      </c>
      <c r="D222" s="882">
        <v>0.996</v>
      </c>
      <c r="E222" s="882"/>
      <c r="F222" s="882">
        <v>99.99</v>
      </c>
      <c r="G222" s="882">
        <v>8.67</v>
      </c>
      <c r="H222" s="882">
        <v>1.0309999999999999</v>
      </c>
      <c r="I222" s="881"/>
      <c r="J222" s="881"/>
      <c r="K222" s="881">
        <v>7</v>
      </c>
      <c r="L222" s="882">
        <v>-78.876999999999995</v>
      </c>
      <c r="M222" s="882">
        <v>-388.45699999999999</v>
      </c>
      <c r="N222" s="882"/>
      <c r="O222" s="882">
        <v>-248.05600000000001</v>
      </c>
      <c r="P222" s="882">
        <v>-39.978000000000002</v>
      </c>
      <c r="Q222" s="882">
        <v>-55.62</v>
      </c>
      <c r="R222" s="521"/>
      <c r="S222" s="521"/>
      <c r="T222" s="521"/>
    </row>
    <row r="223" spans="1:20">
      <c r="A223" s="521"/>
      <c r="B223" s="521">
        <v>8</v>
      </c>
      <c r="C223" s="685">
        <v>87.789000000000001</v>
      </c>
      <c r="D223" s="685">
        <v>2.8929999999999998</v>
      </c>
      <c r="E223" s="685"/>
      <c r="F223" s="685">
        <v>114.992</v>
      </c>
      <c r="G223" s="685">
        <v>12.122999999999999</v>
      </c>
      <c r="H223" s="685">
        <v>1.1619999999999999</v>
      </c>
      <c r="I223" s="521"/>
      <c r="J223" s="521"/>
      <c r="K223" s="521">
        <v>8</v>
      </c>
      <c r="L223" s="685">
        <v>-96.614999999999995</v>
      </c>
      <c r="M223" s="685">
        <v>-406.53</v>
      </c>
      <c r="N223" s="685"/>
      <c r="O223" s="685">
        <v>-211.095</v>
      </c>
      <c r="P223" s="685">
        <v>-52.722000000000001</v>
      </c>
      <c r="Q223" s="685">
        <v>-63.564</v>
      </c>
      <c r="R223" s="521"/>
      <c r="S223" s="521"/>
      <c r="T223" s="521"/>
    </row>
    <row r="224" spans="1:20">
      <c r="A224" s="881"/>
      <c r="B224" s="881">
        <v>9</v>
      </c>
      <c r="C224" s="882">
        <v>23.302</v>
      </c>
      <c r="D224" s="882">
        <v>2.6850000000000001</v>
      </c>
      <c r="E224" s="882"/>
      <c r="F224" s="882">
        <v>171.226</v>
      </c>
      <c r="G224" s="882">
        <v>3.41</v>
      </c>
      <c r="H224" s="882">
        <v>0.13300000000000001</v>
      </c>
      <c r="I224" s="881"/>
      <c r="J224" s="881"/>
      <c r="K224" s="881">
        <v>9</v>
      </c>
      <c r="L224" s="882">
        <v>-177.51599999999999</v>
      </c>
      <c r="M224" s="882">
        <v>-391.178</v>
      </c>
      <c r="N224" s="882"/>
      <c r="O224" s="882">
        <v>-154.59100000000001</v>
      </c>
      <c r="P224" s="882">
        <v>-70.176000000000002</v>
      </c>
      <c r="Q224" s="882">
        <v>-61.573</v>
      </c>
      <c r="R224" s="521"/>
      <c r="S224" s="521"/>
      <c r="T224" s="521"/>
    </row>
    <row r="225" spans="1:20">
      <c r="A225" s="521"/>
      <c r="B225" s="521">
        <v>10</v>
      </c>
      <c r="C225" s="685">
        <v>58.793999999999997</v>
      </c>
      <c r="D225" s="685">
        <v>2.1389999999999998</v>
      </c>
      <c r="E225" s="685"/>
      <c r="F225" s="685">
        <v>105.184</v>
      </c>
      <c r="G225" s="685">
        <v>8.032</v>
      </c>
      <c r="H225" s="685">
        <v>0.57199999999999995</v>
      </c>
      <c r="I225" s="521"/>
      <c r="J225" s="521"/>
      <c r="K225" s="521">
        <v>10</v>
      </c>
      <c r="L225" s="685">
        <v>-131.94999999999999</v>
      </c>
      <c r="M225" s="685">
        <v>-396.23700000000002</v>
      </c>
      <c r="N225" s="685"/>
      <c r="O225" s="685">
        <v>-220.607</v>
      </c>
      <c r="P225" s="685">
        <v>-75.733000000000004</v>
      </c>
      <c r="Q225" s="685">
        <v>-64.594999999999999</v>
      </c>
      <c r="R225" s="521"/>
      <c r="S225" s="521"/>
      <c r="T225" s="521"/>
    </row>
    <row r="226" spans="1:20">
      <c r="A226" s="881"/>
      <c r="B226" s="881">
        <v>11</v>
      </c>
      <c r="C226" s="882">
        <v>45.942999999999998</v>
      </c>
      <c r="D226" s="882">
        <v>1.675</v>
      </c>
      <c r="E226" s="882"/>
      <c r="F226" s="882">
        <v>60.371000000000002</v>
      </c>
      <c r="G226" s="882">
        <v>3.0070000000000001</v>
      </c>
      <c r="H226" s="882">
        <v>0</v>
      </c>
      <c r="I226" s="881"/>
      <c r="J226" s="881"/>
      <c r="K226" s="881">
        <v>11</v>
      </c>
      <c r="L226" s="882">
        <v>-179.941</v>
      </c>
      <c r="M226" s="882">
        <v>-390.64699999999999</v>
      </c>
      <c r="N226" s="882"/>
      <c r="O226" s="882">
        <v>-245.596</v>
      </c>
      <c r="P226" s="882">
        <v>-56.206000000000003</v>
      </c>
      <c r="Q226" s="882">
        <v>-70.768000000000001</v>
      </c>
      <c r="R226" s="521"/>
      <c r="S226" s="521"/>
      <c r="T226" s="521"/>
    </row>
    <row r="227" spans="1:20">
      <c r="A227" s="521"/>
      <c r="B227" s="521">
        <v>12</v>
      </c>
      <c r="C227" s="685">
        <v>51.345999999999997</v>
      </c>
      <c r="D227" s="685">
        <v>2.37</v>
      </c>
      <c r="E227" s="685"/>
      <c r="F227" s="685">
        <v>76.983999999999995</v>
      </c>
      <c r="G227" s="685">
        <v>5.2679999999999998</v>
      </c>
      <c r="H227" s="685">
        <v>0</v>
      </c>
      <c r="I227" s="521"/>
      <c r="J227" s="521"/>
      <c r="K227" s="521">
        <v>12</v>
      </c>
      <c r="L227" s="685">
        <v>-88.903000000000006</v>
      </c>
      <c r="M227" s="685">
        <v>-405.06299999999999</v>
      </c>
      <c r="N227" s="685"/>
      <c r="O227" s="685">
        <v>-249.101</v>
      </c>
      <c r="P227" s="685">
        <v>-60.177999999999997</v>
      </c>
      <c r="Q227" s="685">
        <v>-58.976999999999997</v>
      </c>
      <c r="R227" s="521"/>
      <c r="S227" s="521"/>
      <c r="T227" s="521"/>
    </row>
    <row r="228" spans="1:20">
      <c r="A228" s="881"/>
      <c r="B228" s="881">
        <v>13</v>
      </c>
      <c r="C228" s="882">
        <v>27.439</v>
      </c>
      <c r="D228" s="882">
        <v>1.2829999999999999</v>
      </c>
      <c r="E228" s="882"/>
      <c r="F228" s="882">
        <v>211.02199999999999</v>
      </c>
      <c r="G228" s="882">
        <v>7.8490000000000002</v>
      </c>
      <c r="H228" s="882">
        <v>6.6000000000000003E-2</v>
      </c>
      <c r="I228" s="881"/>
      <c r="J228" s="881"/>
      <c r="K228" s="881">
        <v>13</v>
      </c>
      <c r="L228" s="882">
        <v>-155.16999999999999</v>
      </c>
      <c r="M228" s="882">
        <v>-392.15800000000002</v>
      </c>
      <c r="N228" s="882"/>
      <c r="O228" s="882">
        <v>-133.792</v>
      </c>
      <c r="P228" s="882">
        <v>-70.438000000000002</v>
      </c>
      <c r="Q228" s="882">
        <v>-73.072000000000003</v>
      </c>
      <c r="R228" s="521"/>
      <c r="S228" s="521"/>
      <c r="T228" s="521"/>
    </row>
    <row r="229" spans="1:20">
      <c r="A229" s="521"/>
      <c r="B229" s="521">
        <v>14</v>
      </c>
      <c r="C229" s="685">
        <v>39.25</v>
      </c>
      <c r="D229" s="685">
        <v>2.2829999999999999</v>
      </c>
      <c r="E229" s="685"/>
      <c r="F229" s="685">
        <v>334.303</v>
      </c>
      <c r="G229" s="685">
        <v>5.4269999999999996</v>
      </c>
      <c r="H229" s="685">
        <v>0.57499999999999996</v>
      </c>
      <c r="I229" s="521"/>
      <c r="J229" s="521"/>
      <c r="K229" s="521">
        <v>14</v>
      </c>
      <c r="L229" s="685">
        <v>-107.93</v>
      </c>
      <c r="M229" s="685">
        <v>-373.435</v>
      </c>
      <c r="N229" s="685"/>
      <c r="O229" s="685">
        <v>-62.488</v>
      </c>
      <c r="P229" s="685">
        <v>-66.018000000000001</v>
      </c>
      <c r="Q229" s="685">
        <v>-62.787999999999997</v>
      </c>
      <c r="R229" s="521"/>
      <c r="S229" s="521"/>
      <c r="T229" s="521"/>
    </row>
    <row r="230" spans="1:20">
      <c r="A230" s="881"/>
      <c r="B230" s="881">
        <v>15</v>
      </c>
      <c r="C230" s="882">
        <v>77.424999999999997</v>
      </c>
      <c r="D230" s="882">
        <v>1.111</v>
      </c>
      <c r="E230" s="882"/>
      <c r="F230" s="882">
        <v>274.14299999999997</v>
      </c>
      <c r="G230" s="882">
        <v>3.99</v>
      </c>
      <c r="H230" s="882">
        <v>0</v>
      </c>
      <c r="I230" s="881"/>
      <c r="J230" s="881"/>
      <c r="K230" s="881">
        <v>15</v>
      </c>
      <c r="L230" s="882">
        <v>-122.79300000000001</v>
      </c>
      <c r="M230" s="882">
        <v>-388.83699999999999</v>
      </c>
      <c r="N230" s="882"/>
      <c r="O230" s="882">
        <v>-121.58799999999999</v>
      </c>
      <c r="P230" s="882">
        <v>-46.853000000000002</v>
      </c>
      <c r="Q230" s="882">
        <v>-61.921999999999997</v>
      </c>
      <c r="R230" s="521"/>
      <c r="S230" s="521"/>
      <c r="T230" s="521"/>
    </row>
    <row r="231" spans="1:20">
      <c r="A231" s="521"/>
      <c r="B231" s="521">
        <v>16</v>
      </c>
      <c r="C231" s="685">
        <v>54.835000000000001</v>
      </c>
      <c r="D231" s="685">
        <v>0.81399999999999995</v>
      </c>
      <c r="E231" s="685"/>
      <c r="F231" s="685">
        <v>238.078</v>
      </c>
      <c r="G231" s="685">
        <v>8.9269999999999996</v>
      </c>
      <c r="H231" s="685">
        <v>0</v>
      </c>
      <c r="I231" s="521"/>
      <c r="J231" s="521"/>
      <c r="K231" s="521">
        <v>16</v>
      </c>
      <c r="L231" s="685">
        <v>-155.749</v>
      </c>
      <c r="M231" s="685">
        <v>-401.017</v>
      </c>
      <c r="N231" s="685"/>
      <c r="O231" s="685">
        <v>-176.78200000000001</v>
      </c>
      <c r="P231" s="685">
        <v>-53.024999999999999</v>
      </c>
      <c r="Q231" s="685">
        <v>-73.236999999999995</v>
      </c>
      <c r="R231" s="521"/>
      <c r="S231" s="521"/>
      <c r="T231" s="521"/>
    </row>
    <row r="232" spans="1:20">
      <c r="A232" s="881"/>
      <c r="B232" s="881">
        <v>17</v>
      </c>
      <c r="C232" s="882">
        <v>17.524999999999999</v>
      </c>
      <c r="D232" s="882">
        <v>2.4529999999999998</v>
      </c>
      <c r="E232" s="882"/>
      <c r="F232" s="882">
        <v>257.351</v>
      </c>
      <c r="G232" s="882">
        <v>4.8890000000000002</v>
      </c>
      <c r="H232" s="882">
        <v>0</v>
      </c>
      <c r="I232" s="881"/>
      <c r="J232" s="881"/>
      <c r="K232" s="881">
        <v>17</v>
      </c>
      <c r="L232" s="882">
        <v>-221.27600000000001</v>
      </c>
      <c r="M232" s="882">
        <v>-382.05700000000002</v>
      </c>
      <c r="N232" s="882"/>
      <c r="O232" s="882">
        <v>-137.38200000000001</v>
      </c>
      <c r="P232" s="882">
        <v>-50.853999999999999</v>
      </c>
      <c r="Q232" s="882">
        <v>-42.749000000000002</v>
      </c>
      <c r="R232" s="521"/>
      <c r="S232" s="521"/>
      <c r="T232" s="521"/>
    </row>
    <row r="233" spans="1:20">
      <c r="A233" s="521"/>
      <c r="B233" s="521">
        <v>18</v>
      </c>
      <c r="C233" s="685">
        <v>32.302999999999997</v>
      </c>
      <c r="D233" s="685">
        <v>4.5709999999999997</v>
      </c>
      <c r="E233" s="685"/>
      <c r="F233" s="685">
        <v>223.68</v>
      </c>
      <c r="G233" s="685">
        <v>33.417999999999999</v>
      </c>
      <c r="H233" s="685">
        <v>0.33100000000000002</v>
      </c>
      <c r="I233" s="521"/>
      <c r="J233" s="521"/>
      <c r="K233" s="521">
        <v>18</v>
      </c>
      <c r="L233" s="685">
        <v>-134.53</v>
      </c>
      <c r="M233" s="685">
        <v>-298.67</v>
      </c>
      <c r="N233" s="685"/>
      <c r="O233" s="685">
        <v>-85.247</v>
      </c>
      <c r="P233" s="685">
        <v>-22.558</v>
      </c>
      <c r="Q233" s="685">
        <v>-59.758000000000003</v>
      </c>
      <c r="R233" s="521"/>
      <c r="S233" s="521"/>
      <c r="T233" s="521"/>
    </row>
    <row r="234" spans="1:20">
      <c r="A234" s="881"/>
      <c r="B234" s="881">
        <v>19</v>
      </c>
      <c r="C234" s="882">
        <v>139.345</v>
      </c>
      <c r="D234" s="882">
        <v>5.0279999999999996</v>
      </c>
      <c r="E234" s="882"/>
      <c r="F234" s="882">
        <v>193.441</v>
      </c>
      <c r="G234" s="882">
        <v>52.267000000000003</v>
      </c>
      <c r="H234" s="882">
        <v>2.1339999999999999</v>
      </c>
      <c r="I234" s="881"/>
      <c r="J234" s="881"/>
      <c r="K234" s="881">
        <v>19</v>
      </c>
      <c r="L234" s="882">
        <v>-16.509</v>
      </c>
      <c r="M234" s="882">
        <v>-290.49</v>
      </c>
      <c r="N234" s="882"/>
      <c r="O234" s="882">
        <v>-21.891999999999999</v>
      </c>
      <c r="P234" s="882">
        <v>-0.61399999999999999</v>
      </c>
      <c r="Q234" s="882">
        <v>-58.341000000000001</v>
      </c>
      <c r="R234" s="521"/>
      <c r="S234" s="521"/>
      <c r="T234" s="521"/>
    </row>
    <row r="235" spans="1:20">
      <c r="A235" s="521"/>
      <c r="B235" s="521">
        <v>20</v>
      </c>
      <c r="C235" s="685">
        <v>117.658</v>
      </c>
      <c r="D235" s="685">
        <v>4.9180000000000001</v>
      </c>
      <c r="E235" s="685"/>
      <c r="F235" s="685">
        <v>221.32300000000001</v>
      </c>
      <c r="G235" s="685">
        <v>29.646999999999998</v>
      </c>
      <c r="H235" s="685">
        <v>0.89300000000000002</v>
      </c>
      <c r="I235" s="521"/>
      <c r="J235" s="521"/>
      <c r="K235" s="521">
        <v>20</v>
      </c>
      <c r="L235" s="685">
        <v>-42.622</v>
      </c>
      <c r="M235" s="685">
        <v>-326.49400000000003</v>
      </c>
      <c r="N235" s="685"/>
      <c r="O235" s="685">
        <v>-30.044</v>
      </c>
      <c r="P235" s="685">
        <v>-0.218</v>
      </c>
      <c r="Q235" s="685">
        <v>-57.531999999999996</v>
      </c>
      <c r="R235" s="521"/>
      <c r="S235" s="521"/>
      <c r="T235" s="521"/>
    </row>
    <row r="236" spans="1:20">
      <c r="A236" s="881"/>
      <c r="B236" s="881">
        <v>21</v>
      </c>
      <c r="C236" s="882">
        <v>30.145</v>
      </c>
      <c r="D236" s="882">
        <v>5.2140000000000004</v>
      </c>
      <c r="E236" s="882"/>
      <c r="F236" s="882">
        <v>234.27699999999999</v>
      </c>
      <c r="G236" s="882">
        <v>6.1509999999999998</v>
      </c>
      <c r="H236" s="882">
        <v>0.48599999999999999</v>
      </c>
      <c r="I236" s="881"/>
      <c r="J236" s="881"/>
      <c r="K236" s="881">
        <v>21</v>
      </c>
      <c r="L236" s="882">
        <v>-137.74600000000001</v>
      </c>
      <c r="M236" s="882">
        <v>-314.654</v>
      </c>
      <c r="N236" s="882"/>
      <c r="O236" s="882">
        <v>-25.058</v>
      </c>
      <c r="P236" s="882">
        <v>-13.532999999999999</v>
      </c>
      <c r="Q236" s="882">
        <v>-63.262999999999998</v>
      </c>
      <c r="R236" s="521"/>
      <c r="S236" s="521"/>
      <c r="T236" s="521"/>
    </row>
    <row r="237" spans="1:20">
      <c r="A237" s="521"/>
      <c r="B237" s="521">
        <v>22</v>
      </c>
      <c r="C237" s="685">
        <v>81.805999999999997</v>
      </c>
      <c r="D237" s="685">
        <v>6.0549999999999997</v>
      </c>
      <c r="E237" s="685"/>
      <c r="F237" s="685">
        <v>237.80699999999999</v>
      </c>
      <c r="G237" s="685">
        <v>10.025</v>
      </c>
      <c r="H237" s="685">
        <v>7.6999999999999999E-2</v>
      </c>
      <c r="I237" s="521"/>
      <c r="J237" s="521"/>
      <c r="K237" s="521">
        <v>22</v>
      </c>
      <c r="L237" s="685">
        <v>-74.129000000000005</v>
      </c>
      <c r="M237" s="685">
        <v>-266.625</v>
      </c>
      <c r="N237" s="685"/>
      <c r="O237" s="685">
        <v>-33.465000000000003</v>
      </c>
      <c r="P237" s="685">
        <v>-11.771000000000001</v>
      </c>
      <c r="Q237" s="685">
        <v>-62.993000000000002</v>
      </c>
      <c r="R237" s="521"/>
      <c r="S237" s="521"/>
      <c r="T237" s="521"/>
    </row>
    <row r="238" spans="1:20">
      <c r="A238" s="881"/>
      <c r="B238" s="881">
        <v>23</v>
      </c>
      <c r="C238" s="882">
        <v>70.197000000000003</v>
      </c>
      <c r="D238" s="882">
        <v>3.508</v>
      </c>
      <c r="E238" s="882"/>
      <c r="F238" s="882">
        <v>254.661</v>
      </c>
      <c r="G238" s="882">
        <v>11.090999999999999</v>
      </c>
      <c r="H238" s="882">
        <v>9.8000000000000004E-2</v>
      </c>
      <c r="I238" s="881"/>
      <c r="J238" s="881"/>
      <c r="K238" s="881">
        <v>23</v>
      </c>
      <c r="L238" s="882">
        <v>-74.947000000000003</v>
      </c>
      <c r="M238" s="882">
        <v>-341.28199999999998</v>
      </c>
      <c r="N238" s="882"/>
      <c r="O238" s="882">
        <v>-23.481999999999999</v>
      </c>
      <c r="P238" s="882">
        <v>-2.67</v>
      </c>
      <c r="Q238" s="882">
        <v>-66.317999999999998</v>
      </c>
      <c r="R238" s="521"/>
      <c r="S238" s="521"/>
      <c r="T238" s="521"/>
    </row>
    <row r="239" spans="1:20">
      <c r="B239" s="521">
        <v>24</v>
      </c>
      <c r="C239" s="685">
        <v>57.463000000000001</v>
      </c>
      <c r="D239" s="685">
        <v>4.7789999999999999</v>
      </c>
      <c r="E239" s="685"/>
      <c r="F239" s="685">
        <v>241.15</v>
      </c>
      <c r="G239" s="685">
        <v>10.72</v>
      </c>
      <c r="H239" s="685">
        <v>0</v>
      </c>
      <c r="I239" s="521"/>
      <c r="J239" s="521"/>
      <c r="K239" s="521">
        <v>24</v>
      </c>
      <c r="L239" s="685">
        <v>-98.034999999999997</v>
      </c>
      <c r="M239" s="685">
        <v>-264.012</v>
      </c>
      <c r="N239" s="685"/>
      <c r="O239" s="685">
        <v>-23.122</v>
      </c>
      <c r="P239" s="685">
        <v>-9.4830000000000005</v>
      </c>
      <c r="Q239" s="685">
        <v>-78.316000000000003</v>
      </c>
      <c r="R239" s="521"/>
      <c r="S239" s="521"/>
      <c r="T239" s="521"/>
    </row>
    <row r="240" spans="1:20">
      <c r="A240" s="885"/>
      <c r="B240" s="881">
        <v>25</v>
      </c>
      <c r="C240" s="882">
        <v>66.221000000000004</v>
      </c>
      <c r="D240" s="882">
        <v>11.010999999999999</v>
      </c>
      <c r="E240" s="882"/>
      <c r="F240" s="882">
        <v>215.459</v>
      </c>
      <c r="G240" s="882">
        <v>7.6390000000000002</v>
      </c>
      <c r="H240" s="882">
        <v>0.56599999999999995</v>
      </c>
      <c r="I240" s="881"/>
      <c r="J240" s="881"/>
      <c r="K240" s="881">
        <v>25</v>
      </c>
      <c r="L240" s="882">
        <v>-78.483999999999995</v>
      </c>
      <c r="M240" s="882">
        <v>-230.72800000000001</v>
      </c>
      <c r="N240" s="882"/>
      <c r="O240" s="882">
        <v>-51.896000000000001</v>
      </c>
      <c r="P240" s="882">
        <v>-29.425999999999998</v>
      </c>
      <c r="Q240" s="882">
        <v>-68.659000000000006</v>
      </c>
      <c r="R240" s="521"/>
      <c r="S240" s="521"/>
      <c r="T240" s="521"/>
    </row>
    <row r="241" spans="1:20">
      <c r="B241" s="521">
        <v>26</v>
      </c>
      <c r="C241" s="685">
        <v>33.237000000000002</v>
      </c>
      <c r="D241" s="685">
        <v>2.0640000000000001</v>
      </c>
      <c r="E241" s="685"/>
      <c r="F241" s="685">
        <v>281.55900000000003</v>
      </c>
      <c r="G241" s="685">
        <v>6.0309999999999997</v>
      </c>
      <c r="H241" s="685">
        <v>1.92</v>
      </c>
      <c r="I241" s="521"/>
      <c r="J241" s="521"/>
      <c r="K241" s="521">
        <v>26</v>
      </c>
      <c r="L241" s="685">
        <v>-160.422</v>
      </c>
      <c r="M241" s="685">
        <v>-365.28199999999998</v>
      </c>
      <c r="N241" s="685"/>
      <c r="O241" s="685">
        <v>-12.14</v>
      </c>
      <c r="P241" s="685">
        <v>-17.47</v>
      </c>
      <c r="Q241" s="685">
        <v>-76.581000000000003</v>
      </c>
      <c r="R241" s="521"/>
      <c r="S241" s="521"/>
      <c r="T241" s="521"/>
    </row>
    <row r="242" spans="1:20">
      <c r="A242" s="885"/>
      <c r="B242" s="881">
        <v>27</v>
      </c>
      <c r="C242" s="882">
        <v>7.6059999999999999</v>
      </c>
      <c r="D242" s="882">
        <v>1.679</v>
      </c>
      <c r="E242" s="882"/>
      <c r="F242" s="882">
        <v>304.99099999999999</v>
      </c>
      <c r="G242" s="882">
        <v>4.3860000000000001</v>
      </c>
      <c r="H242" s="882">
        <v>0</v>
      </c>
      <c r="I242" s="881"/>
      <c r="J242" s="881"/>
      <c r="K242" s="881">
        <v>27</v>
      </c>
      <c r="L242" s="882">
        <v>-228.01900000000001</v>
      </c>
      <c r="M242" s="882">
        <v>-351.69</v>
      </c>
      <c r="N242" s="882"/>
      <c r="O242" s="882">
        <v>-24.597999999999999</v>
      </c>
      <c r="P242" s="882">
        <v>-51.753</v>
      </c>
      <c r="Q242" s="882">
        <v>-0.59499999999999997</v>
      </c>
      <c r="R242" s="521"/>
      <c r="S242" s="521"/>
      <c r="T242" s="521"/>
    </row>
    <row r="243" spans="1:20">
      <c r="B243" s="521">
        <v>28</v>
      </c>
      <c r="C243" s="685">
        <v>7.5049999999999999</v>
      </c>
      <c r="D243" s="685">
        <v>0.90400000000000003</v>
      </c>
      <c r="E243" s="685"/>
      <c r="F243" s="685">
        <v>311.291</v>
      </c>
      <c r="G243" s="685">
        <v>3.1720000000000002</v>
      </c>
      <c r="H243" s="685">
        <v>0</v>
      </c>
      <c r="I243" s="521"/>
      <c r="J243" s="521"/>
      <c r="K243" s="521">
        <v>28</v>
      </c>
      <c r="L243" s="685">
        <v>-204.04900000000001</v>
      </c>
      <c r="M243" s="685">
        <v>-402.49700000000001</v>
      </c>
      <c r="N243" s="685"/>
      <c r="O243" s="685">
        <v>-33.598999999999997</v>
      </c>
      <c r="P243" s="685">
        <v>-50.603000000000002</v>
      </c>
      <c r="Q243" s="685">
        <v>-16.149000000000001</v>
      </c>
      <c r="R243" s="521"/>
      <c r="S243" s="521"/>
      <c r="T243" s="521"/>
    </row>
    <row r="244" spans="1:20">
      <c r="A244" s="885"/>
      <c r="B244" s="881">
        <v>29</v>
      </c>
      <c r="C244" s="882">
        <v>21.76</v>
      </c>
      <c r="D244" s="882">
        <v>0.35799999999999998</v>
      </c>
      <c r="E244" s="882"/>
      <c r="F244" s="882">
        <v>346.03100000000001</v>
      </c>
      <c r="G244" s="882">
        <v>8.49</v>
      </c>
      <c r="H244" s="882">
        <v>0</v>
      </c>
      <c r="I244" s="881"/>
      <c r="J244" s="881"/>
      <c r="K244" s="881">
        <v>29</v>
      </c>
      <c r="L244" s="882">
        <v>-214.464</v>
      </c>
      <c r="M244" s="882">
        <v>-423.77199999999999</v>
      </c>
      <c r="N244" s="882"/>
      <c r="O244" s="882">
        <v>-30.814</v>
      </c>
      <c r="P244" s="882">
        <v>-53.564999999999998</v>
      </c>
      <c r="Q244" s="882">
        <v>-74.48</v>
      </c>
      <c r="R244" s="521"/>
      <c r="S244" s="521"/>
      <c r="T244" s="521"/>
    </row>
    <row r="245" spans="1:20">
      <c r="B245" s="521">
        <v>30</v>
      </c>
      <c r="C245" s="685">
        <v>31.318000000000001</v>
      </c>
      <c r="D245" s="685">
        <v>0.90200000000000002</v>
      </c>
      <c r="E245" s="685"/>
      <c r="F245" s="685">
        <v>271.11200000000002</v>
      </c>
      <c r="G245" s="685">
        <v>7.617</v>
      </c>
      <c r="H245" s="685">
        <v>0</v>
      </c>
      <c r="I245" s="521"/>
      <c r="J245" s="521"/>
      <c r="K245" s="521">
        <v>30</v>
      </c>
      <c r="L245" s="685">
        <v>-122.944</v>
      </c>
      <c r="M245" s="685">
        <v>-415.59</v>
      </c>
      <c r="N245" s="685"/>
      <c r="O245" s="685">
        <v>-19.981000000000002</v>
      </c>
      <c r="P245" s="685">
        <v>-41.204000000000001</v>
      </c>
      <c r="Q245" s="685">
        <v>-74.156000000000006</v>
      </c>
      <c r="R245" s="521"/>
      <c r="S245" s="521"/>
      <c r="T245" s="521"/>
    </row>
    <row r="246" spans="1:20">
      <c r="A246" s="885"/>
      <c r="B246" s="881">
        <v>31</v>
      </c>
      <c r="C246" s="882">
        <v>51.948999999999998</v>
      </c>
      <c r="D246" s="882">
        <v>1.4710000000000001</v>
      </c>
      <c r="E246" s="882"/>
      <c r="F246" s="882">
        <v>293.71699999999998</v>
      </c>
      <c r="G246" s="882">
        <v>23.31</v>
      </c>
      <c r="H246" s="882">
        <v>0.36099999999999999</v>
      </c>
      <c r="I246" s="881"/>
      <c r="J246" s="881"/>
      <c r="K246" s="881">
        <v>31</v>
      </c>
      <c r="L246" s="882">
        <v>-91.031000000000006</v>
      </c>
      <c r="M246" s="882">
        <v>-400.17899999999997</v>
      </c>
      <c r="N246" s="882"/>
      <c r="O246" s="882">
        <v>-29.103000000000002</v>
      </c>
      <c r="P246" s="882">
        <v>-24.166</v>
      </c>
      <c r="Q246" s="882">
        <v>-72.894000000000005</v>
      </c>
      <c r="R246" s="521"/>
      <c r="S246" s="521"/>
      <c r="T246" s="521"/>
    </row>
    <row r="247" spans="1:20">
      <c r="B247" s="521">
        <v>32</v>
      </c>
      <c r="C247" s="685">
        <v>80.584000000000003</v>
      </c>
      <c r="D247" s="685">
        <v>1.554</v>
      </c>
      <c r="E247" s="685"/>
      <c r="F247" s="685">
        <v>221.38</v>
      </c>
      <c r="G247" s="685">
        <v>47.244999999999997</v>
      </c>
      <c r="H247" s="685">
        <v>2.5590000000000002</v>
      </c>
      <c r="I247" s="521"/>
      <c r="J247" s="521"/>
      <c r="K247" s="521">
        <v>32</v>
      </c>
      <c r="L247" s="685">
        <v>-49.505000000000003</v>
      </c>
      <c r="M247" s="685">
        <v>-391.32799999999997</v>
      </c>
      <c r="N247" s="685"/>
      <c r="O247" s="685">
        <v>-13.678000000000001</v>
      </c>
      <c r="P247" s="685">
        <v>-6.0000000000000001E-3</v>
      </c>
      <c r="Q247" s="685">
        <v>-70.725999999999999</v>
      </c>
      <c r="R247" s="521"/>
      <c r="S247" s="521"/>
      <c r="T247" s="521"/>
    </row>
    <row r="248" spans="1:20">
      <c r="A248" s="885"/>
      <c r="B248" s="881">
        <v>33</v>
      </c>
      <c r="C248" s="882">
        <v>175.054</v>
      </c>
      <c r="D248" s="882">
        <v>2.0710000000000002</v>
      </c>
      <c r="E248" s="882"/>
      <c r="F248" s="882">
        <v>254.85900000000001</v>
      </c>
      <c r="G248" s="882">
        <v>35.726999999999997</v>
      </c>
      <c r="H248" s="882">
        <v>2.484</v>
      </c>
      <c r="I248" s="881"/>
      <c r="J248" s="881"/>
      <c r="K248" s="881">
        <v>33</v>
      </c>
      <c r="L248" s="882">
        <v>-23.175000000000001</v>
      </c>
      <c r="M248" s="882">
        <v>-392.95699999999999</v>
      </c>
      <c r="N248" s="882"/>
      <c r="O248" s="882">
        <v>-23.449000000000002</v>
      </c>
      <c r="P248" s="882">
        <v>-3.915</v>
      </c>
      <c r="Q248" s="882">
        <v>-63.002000000000002</v>
      </c>
      <c r="R248" s="521"/>
      <c r="S248" s="521"/>
      <c r="T248" s="521"/>
    </row>
    <row r="249" spans="1:20">
      <c r="B249" s="521">
        <v>34</v>
      </c>
      <c r="C249" s="685">
        <v>181.065</v>
      </c>
      <c r="D249" s="685">
        <v>2.827</v>
      </c>
      <c r="E249" s="685"/>
      <c r="F249" s="685">
        <v>237.017</v>
      </c>
      <c r="G249" s="685">
        <v>32.683</v>
      </c>
      <c r="H249" s="685">
        <v>2.0550000000000002</v>
      </c>
      <c r="I249" s="521"/>
      <c r="J249" s="521"/>
      <c r="K249" s="521">
        <v>34</v>
      </c>
      <c r="L249" s="685">
        <v>-11.093</v>
      </c>
      <c r="M249" s="685">
        <v>-396.56</v>
      </c>
      <c r="N249" s="685"/>
      <c r="O249" s="685">
        <v>-24.38</v>
      </c>
      <c r="P249" s="685">
        <v>-1.4239999999999999</v>
      </c>
      <c r="Q249" s="685">
        <v>-68.813000000000002</v>
      </c>
      <c r="R249" s="521"/>
      <c r="S249" s="521"/>
      <c r="T249" s="521"/>
    </row>
    <row r="250" spans="1:20">
      <c r="A250" s="885"/>
      <c r="B250" s="881">
        <v>35</v>
      </c>
      <c r="C250" s="882">
        <v>93.123000000000005</v>
      </c>
      <c r="D250" s="882">
        <v>4.4020000000000001</v>
      </c>
      <c r="E250" s="882"/>
      <c r="F250" s="882">
        <v>288.387</v>
      </c>
      <c r="G250" s="882">
        <v>19.61</v>
      </c>
      <c r="H250" s="882">
        <v>2.6779999999999999</v>
      </c>
      <c r="I250" s="881"/>
      <c r="J250" s="881"/>
      <c r="K250" s="881">
        <v>35</v>
      </c>
      <c r="L250" s="882">
        <v>-50.947000000000003</v>
      </c>
      <c r="M250" s="882">
        <v>-351.37</v>
      </c>
      <c r="N250" s="882"/>
      <c r="O250" s="882">
        <v>-23.811</v>
      </c>
      <c r="P250" s="882">
        <v>-2.819</v>
      </c>
      <c r="Q250" s="882">
        <v>-63.901000000000003</v>
      </c>
      <c r="R250" s="521"/>
      <c r="S250" s="521"/>
      <c r="T250" s="521"/>
    </row>
    <row r="251" spans="1:20">
      <c r="B251" s="521">
        <v>36</v>
      </c>
      <c r="C251" s="685">
        <v>73.025999999999996</v>
      </c>
      <c r="D251" s="685">
        <v>2.3980000000000001</v>
      </c>
      <c r="E251" s="685"/>
      <c r="F251" s="685">
        <v>329.12</v>
      </c>
      <c r="G251" s="685">
        <v>32.401000000000003</v>
      </c>
      <c r="H251" s="685">
        <v>3.5409999999999999</v>
      </c>
      <c r="I251" s="521"/>
      <c r="J251" s="521"/>
      <c r="K251" s="521">
        <v>36</v>
      </c>
      <c r="L251" s="685">
        <v>-77.603999999999999</v>
      </c>
      <c r="M251" s="685">
        <v>-362.654</v>
      </c>
      <c r="N251" s="685"/>
      <c r="O251" s="685">
        <v>-22.376999999999999</v>
      </c>
      <c r="P251" s="685">
        <v>-4.3019999999999996</v>
      </c>
      <c r="Q251" s="685">
        <v>-68.847999999999999</v>
      </c>
      <c r="R251" s="521"/>
      <c r="S251" s="521"/>
      <c r="T251" s="521"/>
    </row>
    <row r="252" spans="1:20">
      <c r="A252" s="885"/>
      <c r="B252" s="881">
        <v>37</v>
      </c>
      <c r="C252" s="882">
        <v>56.249000000000002</v>
      </c>
      <c r="D252" s="882">
        <v>8.718</v>
      </c>
      <c r="E252" s="882"/>
      <c r="F252" s="882">
        <v>315.85000000000002</v>
      </c>
      <c r="G252" s="882">
        <v>10.329000000000001</v>
      </c>
      <c r="H252" s="882">
        <v>3.403</v>
      </c>
      <c r="I252" s="881"/>
      <c r="J252" s="881"/>
      <c r="K252" s="881">
        <v>37</v>
      </c>
      <c r="L252" s="882">
        <v>-42.81</v>
      </c>
      <c r="M252" s="882">
        <v>-302.63799999999998</v>
      </c>
      <c r="N252" s="882"/>
      <c r="O252" s="882">
        <v>-31.093</v>
      </c>
      <c r="P252" s="882">
        <v>-0.51700000000000002</v>
      </c>
      <c r="Q252" s="882">
        <v>-43.417000000000002</v>
      </c>
      <c r="R252" s="521"/>
      <c r="S252" s="521"/>
      <c r="T252" s="521"/>
    </row>
    <row r="253" spans="1:20">
      <c r="B253" s="521">
        <v>38</v>
      </c>
      <c r="C253" s="685">
        <v>77.367000000000004</v>
      </c>
      <c r="D253" s="685">
        <v>3.6779999999999999</v>
      </c>
      <c r="E253" s="685"/>
      <c r="F253" s="685">
        <v>347.98700000000002</v>
      </c>
      <c r="G253" s="685">
        <v>25.393000000000001</v>
      </c>
      <c r="H253" s="685">
        <v>6.6719999999999997</v>
      </c>
      <c r="I253" s="521"/>
      <c r="J253" s="521"/>
      <c r="K253" s="521">
        <v>38</v>
      </c>
      <c r="L253" s="685">
        <v>-25.169</v>
      </c>
      <c r="M253" s="685">
        <v>-342.93599999999998</v>
      </c>
      <c r="N253" s="685"/>
      <c r="O253" s="685">
        <v>-33.499000000000002</v>
      </c>
      <c r="P253" s="685">
        <v>-17.341999999999999</v>
      </c>
      <c r="Q253" s="685">
        <v>-48.828000000000003</v>
      </c>
      <c r="R253" s="521"/>
      <c r="S253" s="521"/>
      <c r="T253" s="521"/>
    </row>
    <row r="254" spans="1:20">
      <c r="A254" s="885"/>
      <c r="B254" s="881">
        <v>39</v>
      </c>
      <c r="C254" s="882">
        <v>94.31</v>
      </c>
      <c r="D254" s="882">
        <v>5.9960000000000004</v>
      </c>
      <c r="E254" s="882"/>
      <c r="F254" s="882">
        <v>141.75200000000001</v>
      </c>
      <c r="G254" s="882">
        <v>24.346</v>
      </c>
      <c r="H254" s="882">
        <v>1.1439999999999999</v>
      </c>
      <c r="I254" s="881"/>
      <c r="J254" s="881"/>
      <c r="K254" s="881">
        <v>39</v>
      </c>
      <c r="L254" s="882">
        <v>-20.106000000000002</v>
      </c>
      <c r="M254" s="882">
        <v>-212.17599999999999</v>
      </c>
      <c r="N254" s="882"/>
      <c r="O254" s="882">
        <v>-101.86499999999999</v>
      </c>
      <c r="P254" s="882">
        <v>-26.257999999999999</v>
      </c>
      <c r="Q254" s="882">
        <v>-3.633</v>
      </c>
      <c r="R254" s="521"/>
      <c r="S254" s="521"/>
      <c r="T254" s="521"/>
    </row>
    <row r="255" spans="1:20">
      <c r="B255" s="521">
        <v>40</v>
      </c>
      <c r="C255" s="685">
        <v>47.587000000000003</v>
      </c>
      <c r="D255" s="685">
        <v>7.9809999999999999</v>
      </c>
      <c r="E255" s="685"/>
      <c r="F255" s="685">
        <v>256.35399999999998</v>
      </c>
      <c r="G255" s="685">
        <v>19.241</v>
      </c>
      <c r="H255" s="685">
        <v>4.798</v>
      </c>
      <c r="I255" s="521"/>
      <c r="J255" s="521"/>
      <c r="K255" s="521">
        <v>40</v>
      </c>
      <c r="L255" s="685">
        <v>-71.063000000000002</v>
      </c>
      <c r="M255" s="685">
        <v>-240.733</v>
      </c>
      <c r="N255" s="685"/>
      <c r="O255" s="685">
        <v>-53.326000000000001</v>
      </c>
      <c r="P255" s="685">
        <v>-34.725000000000001</v>
      </c>
      <c r="Q255" s="685">
        <v>-58.576999999999998</v>
      </c>
      <c r="R255" s="521"/>
      <c r="S255" s="521"/>
      <c r="T255" s="521"/>
    </row>
    <row r="256" spans="1:20">
      <c r="A256" s="885"/>
      <c r="B256" s="881">
        <v>41</v>
      </c>
      <c r="C256" s="882">
        <v>115.51600000000001</v>
      </c>
      <c r="D256" s="882">
        <v>5.2720000000000002</v>
      </c>
      <c r="E256" s="882"/>
      <c r="F256" s="882">
        <v>171.315</v>
      </c>
      <c r="G256" s="882">
        <v>21.173999999999999</v>
      </c>
      <c r="H256" s="882">
        <v>8.44</v>
      </c>
      <c r="I256" s="881"/>
      <c r="J256" s="881"/>
      <c r="K256" s="881">
        <v>41</v>
      </c>
      <c r="L256" s="882">
        <v>-38.825000000000003</v>
      </c>
      <c r="M256" s="882">
        <v>-333.98899999999998</v>
      </c>
      <c r="N256" s="882"/>
      <c r="O256" s="882">
        <v>-80.162000000000006</v>
      </c>
      <c r="P256" s="882">
        <v>-29.308</v>
      </c>
      <c r="Q256" s="882">
        <v>-60.889000000000003</v>
      </c>
      <c r="R256" s="521"/>
      <c r="S256" s="521"/>
      <c r="T256" s="521"/>
    </row>
    <row r="257" spans="1:20">
      <c r="B257" s="521">
        <v>42</v>
      </c>
      <c r="C257" s="685">
        <v>34.081000000000003</v>
      </c>
      <c r="D257" s="685">
        <v>4.9269999999999996</v>
      </c>
      <c r="E257" s="685"/>
      <c r="F257" s="685">
        <v>241.905</v>
      </c>
      <c r="G257" s="685">
        <v>18.881</v>
      </c>
      <c r="H257" s="685">
        <v>2.9260000000000002</v>
      </c>
      <c r="I257" s="521"/>
      <c r="J257" s="521"/>
      <c r="K257" s="521">
        <v>42</v>
      </c>
      <c r="L257" s="685">
        <v>-66.16</v>
      </c>
      <c r="M257" s="685">
        <v>-333.226</v>
      </c>
      <c r="N257" s="685"/>
      <c r="O257" s="685">
        <v>-79.082999999999998</v>
      </c>
      <c r="P257" s="685">
        <v>-44.209000000000003</v>
      </c>
      <c r="Q257" s="685">
        <v>-69.555999999999997</v>
      </c>
      <c r="R257" s="521"/>
      <c r="S257" s="521"/>
      <c r="T257" s="521"/>
    </row>
    <row r="258" spans="1:20">
      <c r="A258" s="885"/>
      <c r="B258" s="881">
        <v>43</v>
      </c>
      <c r="C258" s="882">
        <v>25.550999999999998</v>
      </c>
      <c r="D258" s="882">
        <v>7.758</v>
      </c>
      <c r="E258" s="882"/>
      <c r="F258" s="882">
        <v>180.09100000000001</v>
      </c>
      <c r="G258" s="882">
        <v>9.7159999999999993</v>
      </c>
      <c r="H258" s="882">
        <v>2.835</v>
      </c>
      <c r="I258" s="881"/>
      <c r="J258" s="881"/>
      <c r="K258" s="881">
        <v>43</v>
      </c>
      <c r="L258" s="882">
        <v>-65.299000000000007</v>
      </c>
      <c r="M258" s="882">
        <v>-237.87700000000001</v>
      </c>
      <c r="N258" s="882"/>
      <c r="O258" s="882">
        <v>-127.18899999999999</v>
      </c>
      <c r="P258" s="882">
        <v>-37.904000000000003</v>
      </c>
      <c r="Q258" s="882">
        <v>-63.957000000000001</v>
      </c>
      <c r="R258" s="521"/>
      <c r="S258" s="521"/>
      <c r="T258" s="521"/>
    </row>
    <row r="259" spans="1:20">
      <c r="B259" s="521">
        <v>44</v>
      </c>
      <c r="C259" s="685">
        <v>11.199</v>
      </c>
      <c r="D259" s="685">
        <v>7.1429999999999998</v>
      </c>
      <c r="E259" s="685"/>
      <c r="F259" s="685">
        <v>191.93899999999999</v>
      </c>
      <c r="G259" s="685">
        <v>2.1680000000000001</v>
      </c>
      <c r="H259" s="685">
        <v>0</v>
      </c>
      <c r="I259" s="521"/>
      <c r="J259" s="521"/>
      <c r="K259" s="521">
        <v>44</v>
      </c>
      <c r="L259" s="685">
        <v>-116.768</v>
      </c>
      <c r="M259" s="685">
        <v>-247.32</v>
      </c>
      <c r="N259" s="685"/>
      <c r="O259" s="685">
        <v>-121.798</v>
      </c>
      <c r="P259" s="685">
        <v>-48.695</v>
      </c>
      <c r="Q259" s="685">
        <v>-65.471999999999994</v>
      </c>
      <c r="R259" s="521"/>
      <c r="S259" s="521"/>
      <c r="T259" s="521"/>
    </row>
    <row r="260" spans="1:20">
      <c r="A260" s="885"/>
      <c r="B260" s="881">
        <v>45</v>
      </c>
      <c r="C260" s="882">
        <v>57.06</v>
      </c>
      <c r="D260" s="882">
        <v>4.2439999999999998</v>
      </c>
      <c r="E260" s="882"/>
      <c r="F260" s="882">
        <v>287.12900000000002</v>
      </c>
      <c r="G260" s="882">
        <v>10.29</v>
      </c>
      <c r="H260" s="882">
        <v>0</v>
      </c>
      <c r="I260" s="881"/>
      <c r="J260" s="881"/>
      <c r="K260" s="881">
        <v>45</v>
      </c>
      <c r="L260" s="882">
        <v>-90.096000000000004</v>
      </c>
      <c r="M260" s="882">
        <v>-396.62900000000002</v>
      </c>
      <c r="N260" s="882"/>
      <c r="O260" s="882">
        <v>-69.006</v>
      </c>
      <c r="P260" s="882">
        <v>-52.262</v>
      </c>
      <c r="Q260" s="882">
        <v>-47.478000000000002</v>
      </c>
      <c r="R260" s="521"/>
      <c r="S260" s="521"/>
      <c r="T260" s="521"/>
    </row>
    <row r="261" spans="1:20">
      <c r="B261" s="521">
        <v>46</v>
      </c>
      <c r="C261" s="685">
        <v>35.423000000000002</v>
      </c>
      <c r="D261" s="685">
        <v>2.8769999999999998</v>
      </c>
      <c r="E261" s="685"/>
      <c r="F261" s="685">
        <v>267.19900000000001</v>
      </c>
      <c r="G261" s="685">
        <v>6.6340000000000003</v>
      </c>
      <c r="H261" s="685">
        <v>1.159</v>
      </c>
      <c r="I261" s="521"/>
      <c r="J261" s="521"/>
      <c r="K261" s="521">
        <v>46</v>
      </c>
      <c r="L261" s="685">
        <v>-95.143000000000001</v>
      </c>
      <c r="M261" s="685">
        <v>-355.28800000000001</v>
      </c>
      <c r="N261" s="685"/>
      <c r="O261" s="685">
        <v>-89.616</v>
      </c>
      <c r="P261" s="685">
        <v>-56.203000000000003</v>
      </c>
      <c r="Q261" s="685">
        <v>-29.510999999999999</v>
      </c>
      <c r="R261" s="521"/>
      <c r="S261" s="521"/>
      <c r="T261" s="521"/>
    </row>
    <row r="262" spans="1:20">
      <c r="A262" s="885"/>
      <c r="B262" s="881">
        <v>47</v>
      </c>
      <c r="C262" s="882">
        <v>36.664999999999999</v>
      </c>
      <c r="D262" s="882">
        <v>8.8059999999999992</v>
      </c>
      <c r="E262" s="882"/>
      <c r="F262" s="882">
        <v>299.90699999999998</v>
      </c>
      <c r="G262" s="882">
        <v>11.634</v>
      </c>
      <c r="H262" s="882">
        <v>8.2000000000000003E-2</v>
      </c>
      <c r="I262" s="881"/>
      <c r="J262" s="881"/>
      <c r="K262" s="881">
        <v>47</v>
      </c>
      <c r="L262" s="882">
        <v>-131.52500000000001</v>
      </c>
      <c r="M262" s="882">
        <v>-319.84300000000002</v>
      </c>
      <c r="N262" s="882"/>
      <c r="O262" s="882">
        <v>-71.370999999999995</v>
      </c>
      <c r="P262" s="882">
        <v>-38.514000000000003</v>
      </c>
      <c r="Q262" s="882">
        <v>-65.713999999999999</v>
      </c>
      <c r="R262" s="521"/>
      <c r="S262" s="521"/>
      <c r="T262" s="521"/>
    </row>
    <row r="263" spans="1:20">
      <c r="B263" s="521">
        <v>48</v>
      </c>
      <c r="C263" s="685">
        <v>76.602999999999994</v>
      </c>
      <c r="D263" s="685">
        <v>3.8119999999999998</v>
      </c>
      <c r="E263" s="685"/>
      <c r="F263" s="685">
        <v>235.05699999999999</v>
      </c>
      <c r="G263" s="685">
        <v>13.199</v>
      </c>
      <c r="H263" s="685">
        <v>1.478</v>
      </c>
      <c r="I263" s="521"/>
      <c r="J263" s="521"/>
      <c r="K263" s="521">
        <v>48</v>
      </c>
      <c r="L263" s="685">
        <v>-81.674000000000007</v>
      </c>
      <c r="M263" s="685">
        <v>-315.88499999999999</v>
      </c>
      <c r="N263" s="685"/>
      <c r="O263" s="685">
        <v>-86.825999999999993</v>
      </c>
      <c r="P263" s="685">
        <v>-42.051000000000002</v>
      </c>
      <c r="Q263" s="685">
        <v>-72.046000000000006</v>
      </c>
      <c r="R263" s="521"/>
      <c r="S263" s="521"/>
      <c r="T263" s="521"/>
    </row>
    <row r="264" spans="1:20">
      <c r="A264" s="885"/>
      <c r="B264" s="881">
        <v>49</v>
      </c>
      <c r="C264" s="882">
        <v>35.320999999999998</v>
      </c>
      <c r="D264" s="882">
        <v>3.4279999999999999</v>
      </c>
      <c r="E264" s="882"/>
      <c r="F264" s="882">
        <v>287.53399999999999</v>
      </c>
      <c r="G264" s="882">
        <v>3.6240000000000001</v>
      </c>
      <c r="H264" s="882">
        <v>2.6379999999999999</v>
      </c>
      <c r="I264" s="881"/>
      <c r="J264" s="881"/>
      <c r="K264" s="881">
        <v>49</v>
      </c>
      <c r="L264" s="882">
        <v>-148.852</v>
      </c>
      <c r="M264" s="882">
        <v>-306.57</v>
      </c>
      <c r="N264" s="882"/>
      <c r="O264" s="882">
        <v>-56.899000000000001</v>
      </c>
      <c r="P264" s="882">
        <v>-60.173000000000002</v>
      </c>
      <c r="Q264" s="882">
        <v>-67.718000000000004</v>
      </c>
      <c r="R264" s="521"/>
      <c r="S264" s="521"/>
      <c r="T264" s="521"/>
    </row>
    <row r="265" spans="1:20">
      <c r="B265" s="521">
        <v>50</v>
      </c>
      <c r="C265" s="685">
        <v>70.176000000000002</v>
      </c>
      <c r="D265" s="685">
        <v>5.5720000000000001</v>
      </c>
      <c r="E265" s="685"/>
      <c r="F265" s="685">
        <v>224.66</v>
      </c>
      <c r="G265" s="685">
        <v>5.4770000000000003</v>
      </c>
      <c r="H265" s="685">
        <v>6.1020000000000003</v>
      </c>
      <c r="I265" s="521"/>
      <c r="J265" s="521"/>
      <c r="K265" s="521">
        <v>50</v>
      </c>
      <c r="L265" s="685">
        <v>-59.140999999999998</v>
      </c>
      <c r="M265" s="685">
        <v>-312.8</v>
      </c>
      <c r="N265" s="685"/>
      <c r="O265" s="685">
        <v>-123.71299999999999</v>
      </c>
      <c r="P265" s="685">
        <v>-31.154</v>
      </c>
      <c r="Q265" s="685">
        <v>-70.338999999999999</v>
      </c>
      <c r="R265" s="521"/>
      <c r="S265" s="521"/>
      <c r="T265" s="521"/>
    </row>
    <row r="266" spans="1:20">
      <c r="A266" s="885"/>
      <c r="B266" s="881">
        <v>51</v>
      </c>
      <c r="C266" s="882">
        <v>140.084</v>
      </c>
      <c r="D266" s="882">
        <v>5.1520000000000001</v>
      </c>
      <c r="E266" s="882"/>
      <c r="F266" s="882">
        <v>240.023</v>
      </c>
      <c r="G266" s="882">
        <v>10.035</v>
      </c>
      <c r="H266" s="882">
        <v>2.1659999999999999</v>
      </c>
      <c r="I266" s="881"/>
      <c r="J266" s="881"/>
      <c r="K266" s="881">
        <v>51</v>
      </c>
      <c r="L266" s="882">
        <v>-30.89</v>
      </c>
      <c r="M266" s="882">
        <v>-317.63</v>
      </c>
      <c r="N266" s="882"/>
      <c r="O266" s="882">
        <v>-141.53899999999999</v>
      </c>
      <c r="P266" s="882">
        <v>-26.321000000000002</v>
      </c>
      <c r="Q266" s="882">
        <v>-66.783000000000001</v>
      </c>
      <c r="R266" s="521"/>
      <c r="S266" s="521"/>
      <c r="T266" s="521"/>
    </row>
    <row r="267" spans="1:20">
      <c r="B267" s="521">
        <v>52</v>
      </c>
      <c r="C267" s="685">
        <v>153.959</v>
      </c>
      <c r="D267" s="685">
        <v>4.5380000000000003</v>
      </c>
      <c r="E267" s="685"/>
      <c r="F267" s="685">
        <v>222.04</v>
      </c>
      <c r="G267" s="685">
        <v>22.722000000000001</v>
      </c>
      <c r="H267" s="685">
        <v>7.1</v>
      </c>
      <c r="I267" s="521"/>
      <c r="J267" s="521"/>
      <c r="K267" s="521">
        <v>52</v>
      </c>
      <c r="L267" s="685">
        <v>-21.864999999999998</v>
      </c>
      <c r="M267" s="685">
        <v>-340.29300000000001</v>
      </c>
      <c r="N267" s="685"/>
      <c r="O267" s="685">
        <v>-130.81800000000001</v>
      </c>
      <c r="P267" s="685">
        <v>-9.7140000000000004</v>
      </c>
      <c r="Q267" s="685">
        <v>-35.453000000000003</v>
      </c>
      <c r="R267" s="521"/>
      <c r="S267" s="521"/>
      <c r="T267" s="521"/>
    </row>
    <row r="268" spans="1:20">
      <c r="A268" s="881">
        <v>2015</v>
      </c>
      <c r="B268" s="881">
        <v>1</v>
      </c>
      <c r="C268" s="882">
        <v>140.71700000000001</v>
      </c>
      <c r="D268" s="882">
        <v>3.2370000000000001</v>
      </c>
      <c r="E268" s="882"/>
      <c r="F268" s="882">
        <v>176.304</v>
      </c>
      <c r="G268" s="882">
        <v>12.558</v>
      </c>
      <c r="H268" s="882">
        <v>7.4640000000000004</v>
      </c>
      <c r="I268" s="881"/>
      <c r="J268" s="881">
        <v>2015</v>
      </c>
      <c r="K268" s="881">
        <v>1</v>
      </c>
      <c r="L268" s="882">
        <v>-29.707999999999998</v>
      </c>
      <c r="M268" s="882">
        <v>-354.601</v>
      </c>
      <c r="N268" s="882"/>
      <c r="O268" s="882">
        <v>-181.38900000000001</v>
      </c>
      <c r="P268" s="882">
        <v>-16.582999999999998</v>
      </c>
      <c r="Q268" s="882">
        <v>-44.76</v>
      </c>
    </row>
    <row r="269" spans="1:20">
      <c r="A269" s="521"/>
      <c r="B269" s="521">
        <v>2</v>
      </c>
      <c r="C269" s="685">
        <v>142.28399999999999</v>
      </c>
      <c r="D269" s="685">
        <v>4.0060000000000002</v>
      </c>
      <c r="E269" s="685"/>
      <c r="F269" s="685">
        <v>326.26299999999998</v>
      </c>
      <c r="G269" s="685">
        <v>9.59</v>
      </c>
      <c r="H269" s="685">
        <v>4.6319999999999997</v>
      </c>
      <c r="I269" s="521"/>
      <c r="J269" s="521"/>
      <c r="K269" s="521">
        <v>2</v>
      </c>
      <c r="L269" s="685">
        <v>-29.888999999999999</v>
      </c>
      <c r="M269" s="685">
        <v>-392.09</v>
      </c>
      <c r="N269" s="685"/>
      <c r="O269" s="685">
        <v>-58.435000000000002</v>
      </c>
      <c r="P269" s="685">
        <v>-19.763999999999999</v>
      </c>
      <c r="Q269" s="685">
        <v>-55.875</v>
      </c>
    </row>
    <row r="270" spans="1:20">
      <c r="A270" s="881"/>
      <c r="B270" s="881">
        <v>3</v>
      </c>
      <c r="C270" s="882">
        <v>79.263000000000005</v>
      </c>
      <c r="D270" s="882">
        <v>5.85</v>
      </c>
      <c r="E270" s="882"/>
      <c r="F270" s="882">
        <v>308.14100000000002</v>
      </c>
      <c r="G270" s="882">
        <v>10.676</v>
      </c>
      <c r="H270" s="882">
        <v>0</v>
      </c>
      <c r="I270" s="881"/>
      <c r="J270" s="881"/>
      <c r="K270" s="881">
        <v>3</v>
      </c>
      <c r="L270" s="882">
        <v>-24.66</v>
      </c>
      <c r="M270" s="882">
        <v>-341.15499999999997</v>
      </c>
      <c r="N270" s="882"/>
      <c r="O270" s="882">
        <v>-61.360999999999997</v>
      </c>
      <c r="P270" s="882">
        <v>-20.016999999999999</v>
      </c>
      <c r="Q270" s="882">
        <v>-66.251000000000005</v>
      </c>
    </row>
    <row r="271" spans="1:20">
      <c r="A271" s="521"/>
      <c r="B271" s="521">
        <v>4</v>
      </c>
      <c r="C271" s="685">
        <v>36.124000000000002</v>
      </c>
      <c r="D271" s="685">
        <v>5.5430000000000001</v>
      </c>
      <c r="E271" s="685"/>
      <c r="F271" s="685">
        <v>353.58800000000002</v>
      </c>
      <c r="G271" s="685">
        <v>4.1559999999999997</v>
      </c>
      <c r="H271" s="685">
        <v>0.77800000000000002</v>
      </c>
      <c r="I271" s="521"/>
      <c r="J271" s="521"/>
      <c r="K271" s="521">
        <v>4</v>
      </c>
      <c r="L271" s="685">
        <v>-153.61199999999999</v>
      </c>
      <c r="M271" s="685">
        <v>-333.202</v>
      </c>
      <c r="N271" s="685"/>
      <c r="O271" s="685">
        <v>-45.37</v>
      </c>
      <c r="P271" s="685">
        <v>-66.787000000000006</v>
      </c>
      <c r="Q271" s="685">
        <v>-54.134</v>
      </c>
    </row>
    <row r="272" spans="1:20">
      <c r="A272" s="881"/>
      <c r="B272" s="881">
        <v>5</v>
      </c>
      <c r="C272" s="882">
        <v>77.805000000000007</v>
      </c>
      <c r="D272" s="882">
        <v>4.3849999999999998</v>
      </c>
      <c r="E272" s="882"/>
      <c r="F272" s="882">
        <v>196.845</v>
      </c>
      <c r="G272" s="882">
        <v>5.2240000000000002</v>
      </c>
      <c r="H272" s="882">
        <v>1.8169999999999999</v>
      </c>
      <c r="I272" s="881"/>
      <c r="J272" s="881"/>
      <c r="K272" s="881">
        <v>5</v>
      </c>
      <c r="L272" s="882">
        <v>-64.153999999999996</v>
      </c>
      <c r="M272" s="882">
        <v>-291.53300000000002</v>
      </c>
      <c r="N272" s="882"/>
      <c r="O272" s="882">
        <v>-152.73599999999999</v>
      </c>
      <c r="P272" s="882">
        <v>-37.866999999999997</v>
      </c>
      <c r="Q272" s="882">
        <v>-62.137</v>
      </c>
    </row>
    <row r="273" spans="1:17">
      <c r="A273" s="521"/>
      <c r="B273" s="521">
        <v>6</v>
      </c>
      <c r="C273" s="685">
        <v>74.882999999999996</v>
      </c>
      <c r="D273" s="685">
        <v>23.448</v>
      </c>
      <c r="E273" s="685"/>
      <c r="F273" s="685">
        <v>210.809</v>
      </c>
      <c r="G273" s="685">
        <v>3.1179999999999999</v>
      </c>
      <c r="H273" s="685">
        <v>1.7969999999999999</v>
      </c>
      <c r="I273" s="521"/>
      <c r="J273" s="521"/>
      <c r="K273" s="521">
        <v>6</v>
      </c>
      <c r="L273" s="685">
        <v>-80.212000000000003</v>
      </c>
      <c r="M273" s="685">
        <v>-271.73599999999999</v>
      </c>
      <c r="N273" s="685"/>
      <c r="O273" s="685">
        <v>-91.353999999999999</v>
      </c>
      <c r="P273" s="685">
        <v>-48.811999999999998</v>
      </c>
      <c r="Q273" s="685">
        <v>-53.923000000000002</v>
      </c>
    </row>
    <row r="274" spans="1:17">
      <c r="A274" s="881"/>
      <c r="B274" s="881">
        <v>7</v>
      </c>
      <c r="C274" s="882">
        <v>56.692</v>
      </c>
      <c r="D274" s="882">
        <v>3.9820000000000002</v>
      </c>
      <c r="E274" s="882"/>
      <c r="F274" s="882">
        <v>203.02600000000001</v>
      </c>
      <c r="G274" s="882">
        <v>1.9510000000000001</v>
      </c>
      <c r="H274" s="882">
        <v>0.89</v>
      </c>
      <c r="I274" s="881"/>
      <c r="J274" s="881"/>
      <c r="K274" s="881">
        <v>7</v>
      </c>
      <c r="L274" s="882">
        <v>-88.078999999999994</v>
      </c>
      <c r="M274" s="882">
        <v>-334.85300000000001</v>
      </c>
      <c r="N274" s="882"/>
      <c r="O274" s="882">
        <v>-134.77199999999999</v>
      </c>
      <c r="P274" s="882">
        <v>-51.468000000000004</v>
      </c>
      <c r="Q274" s="882">
        <v>-38.795999999999999</v>
      </c>
    </row>
    <row r="275" spans="1:17">
      <c r="A275" s="521"/>
      <c r="B275" s="521">
        <v>8</v>
      </c>
      <c r="C275" s="685">
        <v>55.777999999999999</v>
      </c>
      <c r="D275" s="685">
        <v>3.7919999999999998</v>
      </c>
      <c r="E275" s="685"/>
      <c r="F275" s="685">
        <v>146.38999999999999</v>
      </c>
      <c r="G275" s="685">
        <v>0.46</v>
      </c>
      <c r="H275" s="685">
        <v>0</v>
      </c>
      <c r="I275" s="521"/>
      <c r="J275" s="521"/>
      <c r="K275" s="521">
        <v>8</v>
      </c>
      <c r="L275" s="685">
        <v>-87.085999999999999</v>
      </c>
      <c r="M275" s="685">
        <v>-396.18700000000001</v>
      </c>
      <c r="N275" s="685"/>
      <c r="O275" s="685">
        <v>-158.35400000000001</v>
      </c>
      <c r="P275" s="685">
        <v>-55.113999999999997</v>
      </c>
      <c r="Q275" s="685">
        <v>-57.598999999999997</v>
      </c>
    </row>
    <row r="276" spans="1:17">
      <c r="A276" s="881"/>
      <c r="B276" s="881">
        <v>9</v>
      </c>
      <c r="C276" s="882">
        <v>64.790999999999997</v>
      </c>
      <c r="D276" s="882">
        <v>4.165</v>
      </c>
      <c r="E276" s="882"/>
      <c r="F276" s="882">
        <v>81.893000000000001</v>
      </c>
      <c r="G276" s="882">
        <v>1.8109999999999999</v>
      </c>
      <c r="H276" s="882">
        <v>0</v>
      </c>
      <c r="I276" s="881"/>
      <c r="J276" s="881"/>
      <c r="K276" s="881">
        <v>9</v>
      </c>
      <c r="L276" s="882">
        <v>-79.888999999999996</v>
      </c>
      <c r="M276" s="882">
        <v>-349.61900000000003</v>
      </c>
      <c r="N276" s="882"/>
      <c r="O276" s="882">
        <v>-227.09200000000001</v>
      </c>
      <c r="P276" s="882">
        <v>-33.478999999999999</v>
      </c>
      <c r="Q276" s="882">
        <v>-75.075999999999993</v>
      </c>
    </row>
    <row r="277" spans="1:17">
      <c r="A277" s="521"/>
      <c r="B277" s="521">
        <v>10</v>
      </c>
      <c r="C277" s="685">
        <v>97.141999999999996</v>
      </c>
      <c r="D277" s="685">
        <v>3.8650000000000002</v>
      </c>
      <c r="E277" s="685"/>
      <c r="F277" s="685">
        <v>126.533</v>
      </c>
      <c r="G277" s="685">
        <v>7.01</v>
      </c>
      <c r="H277" s="685">
        <v>0.46</v>
      </c>
      <c r="I277" s="521"/>
      <c r="J277" s="521"/>
      <c r="K277" s="521">
        <v>10</v>
      </c>
      <c r="L277" s="685">
        <v>-53.686999999999998</v>
      </c>
      <c r="M277" s="685">
        <v>-326.41199999999998</v>
      </c>
      <c r="N277" s="685"/>
      <c r="O277" s="685">
        <v>-223.39</v>
      </c>
      <c r="P277" s="685">
        <v>-20.146000000000001</v>
      </c>
      <c r="Q277" s="685">
        <v>-72.852000000000004</v>
      </c>
    </row>
    <row r="278" spans="1:17">
      <c r="A278" s="881"/>
      <c r="B278" s="881">
        <v>11</v>
      </c>
      <c r="C278" s="882">
        <v>37.856999999999999</v>
      </c>
      <c r="D278" s="882">
        <v>3.79</v>
      </c>
      <c r="E278" s="882"/>
      <c r="F278" s="882">
        <v>164.792</v>
      </c>
      <c r="G278" s="882">
        <v>0</v>
      </c>
      <c r="H278" s="882">
        <v>0.76300000000000001</v>
      </c>
      <c r="I278" s="881"/>
      <c r="J278" s="881"/>
      <c r="K278" s="881">
        <v>11</v>
      </c>
      <c r="L278" s="882">
        <v>-102.337</v>
      </c>
      <c r="M278" s="882">
        <v>-302.02300000000002</v>
      </c>
      <c r="N278" s="882"/>
      <c r="O278" s="882">
        <v>-149.17599999999999</v>
      </c>
      <c r="P278" s="882">
        <v>-43.055</v>
      </c>
      <c r="Q278" s="882">
        <v>-61.948</v>
      </c>
    </row>
    <row r="279" spans="1:17">
      <c r="A279" s="521"/>
      <c r="B279" s="521">
        <v>12</v>
      </c>
      <c r="C279" s="685">
        <v>33.637</v>
      </c>
      <c r="D279" s="685">
        <v>4.8120000000000003</v>
      </c>
      <c r="E279" s="685"/>
      <c r="F279" s="685">
        <v>208.90600000000001</v>
      </c>
      <c r="G279" s="685">
        <v>2.6970000000000001</v>
      </c>
      <c r="H279" s="685">
        <v>2.2890000000000001</v>
      </c>
      <c r="I279" s="521"/>
      <c r="J279" s="521"/>
      <c r="K279" s="521">
        <v>12</v>
      </c>
      <c r="L279" s="685">
        <v>-130.83099999999999</v>
      </c>
      <c r="M279" s="685">
        <v>-273.79599999999999</v>
      </c>
      <c r="N279" s="685"/>
      <c r="O279" s="685">
        <v>-144.636</v>
      </c>
      <c r="P279" s="685">
        <v>-41.656999999999996</v>
      </c>
      <c r="Q279" s="685">
        <v>-68.816999999999993</v>
      </c>
    </row>
    <row r="280" spans="1:17">
      <c r="A280" s="881"/>
      <c r="B280" s="881">
        <v>13</v>
      </c>
      <c r="C280" s="882">
        <v>44.414000000000001</v>
      </c>
      <c r="D280" s="882">
        <v>3.157</v>
      </c>
      <c r="E280" s="882"/>
      <c r="F280" s="882">
        <v>247.881</v>
      </c>
      <c r="G280" s="882">
        <v>4.8540000000000001</v>
      </c>
      <c r="H280" s="882">
        <v>0.497</v>
      </c>
      <c r="I280" s="881"/>
      <c r="J280" s="881"/>
      <c r="K280" s="881">
        <v>13</v>
      </c>
      <c r="L280" s="882">
        <v>-87.141999999999996</v>
      </c>
      <c r="M280" s="882">
        <v>-317.58800000000002</v>
      </c>
      <c r="N280" s="882"/>
      <c r="O280" s="882">
        <v>-125.462</v>
      </c>
      <c r="P280" s="882">
        <v>-54.993000000000002</v>
      </c>
      <c r="Q280" s="882">
        <v>-69.869</v>
      </c>
    </row>
    <row r="281" spans="1:17">
      <c r="A281" s="521"/>
      <c r="B281" s="521">
        <v>14</v>
      </c>
      <c r="C281" s="685">
        <v>109.18300000000001</v>
      </c>
      <c r="D281" s="685">
        <v>2.6019999999999999</v>
      </c>
      <c r="E281" s="685"/>
      <c r="F281" s="685">
        <v>196.68899999999999</v>
      </c>
      <c r="G281" s="685">
        <v>8.9459999999999997</v>
      </c>
      <c r="H281" s="685">
        <v>1.3169999999999999</v>
      </c>
      <c r="I281" s="521"/>
      <c r="J281" s="521"/>
      <c r="K281" s="521">
        <v>14</v>
      </c>
      <c r="L281" s="685">
        <v>-33.555</v>
      </c>
      <c r="M281" s="685">
        <v>-343.08499999999998</v>
      </c>
      <c r="N281" s="685"/>
      <c r="O281" s="685">
        <v>-178.43100000000001</v>
      </c>
      <c r="P281" s="685">
        <v>-12.964</v>
      </c>
      <c r="Q281" s="685">
        <v>-62.219000000000001</v>
      </c>
    </row>
    <row r="282" spans="1:17">
      <c r="A282" s="881"/>
      <c r="B282" s="881">
        <v>15</v>
      </c>
      <c r="C282" s="882">
        <v>56.462000000000003</v>
      </c>
      <c r="D282" s="882">
        <v>2.1389999999999998</v>
      </c>
      <c r="E282" s="882"/>
      <c r="F282" s="882">
        <v>80.786000000000001</v>
      </c>
      <c r="G282" s="882">
        <v>3.8359999999999999</v>
      </c>
      <c r="H282" s="882">
        <v>0.84599999999999997</v>
      </c>
      <c r="I282" s="881"/>
      <c r="J282" s="881"/>
      <c r="K282" s="881">
        <v>15</v>
      </c>
      <c r="L282" s="882">
        <v>-122.788</v>
      </c>
      <c r="M282" s="882">
        <v>-281.46699999999998</v>
      </c>
      <c r="N282" s="882"/>
      <c r="O282" s="882">
        <v>-170.23599999999999</v>
      </c>
      <c r="P282" s="882">
        <v>-44.85</v>
      </c>
      <c r="Q282" s="882">
        <v>-63.7</v>
      </c>
    </row>
    <row r="283" spans="1:17">
      <c r="A283" s="521"/>
      <c r="B283" s="521">
        <v>16</v>
      </c>
      <c r="C283" s="685">
        <v>56.255000000000003</v>
      </c>
      <c r="D283" s="685">
        <v>3.62</v>
      </c>
      <c r="E283" s="685"/>
      <c r="F283" s="685">
        <v>98.927999999999997</v>
      </c>
      <c r="G283" s="685">
        <v>6.5330000000000004</v>
      </c>
      <c r="H283" s="685">
        <v>4.3999999999999997E-2</v>
      </c>
      <c r="I283" s="521"/>
      <c r="J283" s="521"/>
      <c r="K283" s="521">
        <v>16</v>
      </c>
      <c r="L283" s="685">
        <v>-18.273</v>
      </c>
      <c r="M283" s="685">
        <v>-311.36799999999999</v>
      </c>
      <c r="N283" s="685"/>
      <c r="O283" s="685">
        <v>-196.054</v>
      </c>
      <c r="P283" s="685">
        <v>-32.622999999999998</v>
      </c>
      <c r="Q283" s="685">
        <v>-70.656999999999996</v>
      </c>
    </row>
    <row r="284" spans="1:17">
      <c r="A284" s="881"/>
      <c r="B284" s="881">
        <v>17</v>
      </c>
      <c r="C284" s="882">
        <v>14.321</v>
      </c>
      <c r="D284" s="882">
        <v>4.7549999999999999</v>
      </c>
      <c r="E284" s="882"/>
      <c r="F284" s="882">
        <v>121.017</v>
      </c>
      <c r="G284" s="882">
        <v>4.2229999999999999</v>
      </c>
      <c r="H284" s="882">
        <v>0</v>
      </c>
      <c r="I284" s="881"/>
      <c r="J284" s="881"/>
      <c r="K284" s="881">
        <v>17</v>
      </c>
      <c r="L284" s="882">
        <v>-131.857</v>
      </c>
      <c r="M284" s="882">
        <v>-310.68599999999998</v>
      </c>
      <c r="N284" s="882"/>
      <c r="O284" s="882">
        <v>-201.48500000000001</v>
      </c>
      <c r="P284" s="882">
        <v>-51.417000000000002</v>
      </c>
      <c r="Q284" s="882">
        <v>-74.546000000000006</v>
      </c>
    </row>
    <row r="285" spans="1:17">
      <c r="A285" s="521"/>
      <c r="B285" s="521">
        <v>18</v>
      </c>
      <c r="C285" s="685">
        <v>30.172000000000001</v>
      </c>
      <c r="D285" s="685">
        <v>9.9969999999999999</v>
      </c>
      <c r="E285" s="685"/>
      <c r="F285" s="685">
        <v>154.679</v>
      </c>
      <c r="G285" s="685">
        <v>9.7089999999999996</v>
      </c>
      <c r="H285" s="685">
        <v>0</v>
      </c>
      <c r="I285" s="521"/>
      <c r="J285" s="521"/>
      <c r="K285" s="521">
        <v>18</v>
      </c>
      <c r="L285" s="685">
        <v>-144.28200000000001</v>
      </c>
      <c r="M285" s="685">
        <v>-229.97499999999999</v>
      </c>
      <c r="N285" s="685"/>
      <c r="O285" s="685">
        <v>-173.822</v>
      </c>
      <c r="P285" s="685">
        <v>-41.732999999999997</v>
      </c>
      <c r="Q285" s="685">
        <v>-65.762</v>
      </c>
    </row>
    <row r="286" spans="1:17">
      <c r="A286" s="881"/>
      <c r="B286" s="881">
        <v>19</v>
      </c>
      <c r="C286" s="882">
        <v>91.137</v>
      </c>
      <c r="D286" s="882">
        <v>12.965999999999999</v>
      </c>
      <c r="E286" s="882"/>
      <c r="F286" s="882">
        <v>146.68199999999999</v>
      </c>
      <c r="G286" s="882">
        <v>5.6180000000000003</v>
      </c>
      <c r="H286" s="882">
        <v>0</v>
      </c>
      <c r="I286" s="881"/>
      <c r="J286" s="881"/>
      <c r="K286" s="881">
        <v>19</v>
      </c>
      <c r="L286" s="882">
        <v>-112.581</v>
      </c>
      <c r="M286" s="882">
        <v>-276.202</v>
      </c>
      <c r="N286" s="882"/>
      <c r="O286" s="882">
        <v>-191.20400000000001</v>
      </c>
      <c r="P286" s="882">
        <v>-19.209</v>
      </c>
      <c r="Q286" s="882">
        <v>-71.216999999999999</v>
      </c>
    </row>
    <row r="287" spans="1:17">
      <c r="A287" s="521"/>
      <c r="B287" s="521">
        <v>20</v>
      </c>
      <c r="C287" s="685">
        <v>69.430999999999997</v>
      </c>
      <c r="D287" s="685">
        <v>8.1449999999999996</v>
      </c>
      <c r="E287" s="685"/>
      <c r="F287" s="685">
        <v>75.200999999999993</v>
      </c>
      <c r="G287" s="685">
        <v>7.9770000000000003</v>
      </c>
      <c r="H287" s="685">
        <v>0</v>
      </c>
      <c r="I287" s="521"/>
      <c r="J287" s="521"/>
      <c r="K287" s="521">
        <v>20</v>
      </c>
      <c r="L287" s="685">
        <v>-118.979</v>
      </c>
      <c r="M287" s="685">
        <v>-281.10599999999999</v>
      </c>
      <c r="N287" s="685"/>
      <c r="O287" s="685">
        <v>-204.833</v>
      </c>
      <c r="P287" s="685">
        <v>-21.183</v>
      </c>
      <c r="Q287" s="685">
        <v>-70.683999999999997</v>
      </c>
    </row>
    <row r="288" spans="1:17">
      <c r="A288" s="881"/>
      <c r="B288" s="881">
        <v>21</v>
      </c>
      <c r="C288" s="882">
        <v>49.847000000000001</v>
      </c>
      <c r="D288" s="882">
        <v>5.7510000000000003</v>
      </c>
      <c r="E288" s="882"/>
      <c r="F288" s="882">
        <v>206.935</v>
      </c>
      <c r="G288" s="882">
        <v>2.7610000000000001</v>
      </c>
      <c r="H288" s="882">
        <v>0</v>
      </c>
      <c r="I288" s="881"/>
      <c r="J288" s="881"/>
      <c r="K288" s="881">
        <v>21</v>
      </c>
      <c r="L288" s="882">
        <v>-128.75899999999999</v>
      </c>
      <c r="M288" s="882">
        <v>-345.44400000000002</v>
      </c>
      <c r="N288" s="882"/>
      <c r="O288" s="882">
        <v>-90.811000000000007</v>
      </c>
      <c r="P288" s="882">
        <v>-50.085999999999999</v>
      </c>
      <c r="Q288" s="882">
        <v>-73.516999999999996</v>
      </c>
    </row>
    <row r="289" spans="1:17">
      <c r="A289" s="521"/>
      <c r="B289" s="521">
        <v>22</v>
      </c>
      <c r="C289" s="685">
        <v>84.355999999999995</v>
      </c>
      <c r="D289" s="685">
        <v>6.452</v>
      </c>
      <c r="E289" s="685"/>
      <c r="F289" s="685">
        <v>226.81399999999999</v>
      </c>
      <c r="G289" s="685">
        <v>3.6070000000000002</v>
      </c>
      <c r="H289" s="685">
        <v>0</v>
      </c>
      <c r="I289" s="521"/>
      <c r="J289" s="521"/>
      <c r="K289" s="521">
        <v>22</v>
      </c>
      <c r="L289" s="685">
        <v>-67.210999999999999</v>
      </c>
      <c r="M289" s="685">
        <v>-349.57</v>
      </c>
      <c r="N289" s="685"/>
      <c r="O289" s="685">
        <v>-72.054000000000002</v>
      </c>
      <c r="P289" s="685">
        <v>-7.681</v>
      </c>
      <c r="Q289" s="685">
        <v>-71.423000000000002</v>
      </c>
    </row>
    <row r="290" spans="1:17">
      <c r="A290" s="881"/>
      <c r="B290" s="881">
        <v>23</v>
      </c>
      <c r="C290" s="882">
        <v>53.652000000000001</v>
      </c>
      <c r="D290" s="882">
        <v>7.3209999999999997</v>
      </c>
      <c r="E290" s="882"/>
      <c r="F290" s="882">
        <v>124.014</v>
      </c>
      <c r="G290" s="882">
        <v>0.377</v>
      </c>
      <c r="H290" s="882">
        <v>0</v>
      </c>
      <c r="I290" s="881"/>
      <c r="J290" s="881"/>
      <c r="K290" s="881">
        <v>23</v>
      </c>
      <c r="L290" s="882">
        <v>-92.942999999999998</v>
      </c>
      <c r="M290" s="882">
        <v>-364.02800000000002</v>
      </c>
      <c r="N290" s="882"/>
      <c r="O290" s="882">
        <v>-85.081999999999994</v>
      </c>
      <c r="P290" s="882">
        <v>-17.582000000000001</v>
      </c>
      <c r="Q290" s="882">
        <v>-71.39</v>
      </c>
    </row>
    <row r="291" spans="1:17">
      <c r="B291" s="521">
        <v>24</v>
      </c>
      <c r="C291" s="685">
        <v>5.5149999999999997</v>
      </c>
      <c r="D291" s="685">
        <v>6.7039999999999997</v>
      </c>
      <c r="E291" s="685"/>
      <c r="F291" s="685">
        <v>211.70599999999999</v>
      </c>
      <c r="G291" s="685">
        <v>0</v>
      </c>
      <c r="H291" s="685">
        <v>0</v>
      </c>
      <c r="I291" s="521"/>
      <c r="J291" s="521"/>
      <c r="K291" s="521">
        <v>24</v>
      </c>
      <c r="L291" s="685">
        <v>-188.49799999999999</v>
      </c>
      <c r="M291" s="685">
        <v>-324.995</v>
      </c>
      <c r="N291" s="685"/>
      <c r="O291" s="685">
        <v>-51.978999999999999</v>
      </c>
      <c r="P291" s="685">
        <v>-20.259</v>
      </c>
      <c r="Q291" s="685">
        <v>-69.742999999999995</v>
      </c>
    </row>
    <row r="292" spans="1:17">
      <c r="A292" s="885"/>
      <c r="B292" s="881">
        <v>25</v>
      </c>
      <c r="C292" s="882">
        <v>12.548</v>
      </c>
      <c r="D292" s="882">
        <v>7.9729999999999999</v>
      </c>
      <c r="E292" s="882"/>
      <c r="F292" s="882">
        <v>146.65600000000001</v>
      </c>
      <c r="G292" s="882">
        <v>0</v>
      </c>
      <c r="H292" s="882">
        <v>0</v>
      </c>
      <c r="I292" s="881"/>
      <c r="J292" s="881"/>
      <c r="K292" s="881">
        <v>25</v>
      </c>
      <c r="L292" s="882">
        <v>-193.464</v>
      </c>
      <c r="M292" s="882">
        <v>-317.2</v>
      </c>
      <c r="N292" s="882"/>
      <c r="O292" s="882">
        <v>-72.281999999999996</v>
      </c>
      <c r="P292" s="882">
        <v>-24.463999999999999</v>
      </c>
      <c r="Q292" s="882">
        <v>-70.337000000000003</v>
      </c>
    </row>
    <row r="293" spans="1:17">
      <c r="B293" s="521">
        <v>26</v>
      </c>
      <c r="C293" s="685">
        <v>15.288</v>
      </c>
      <c r="D293" s="685">
        <v>6.649</v>
      </c>
      <c r="E293" s="685"/>
      <c r="F293" s="685">
        <v>264.87700000000001</v>
      </c>
      <c r="G293" s="685">
        <v>0</v>
      </c>
      <c r="H293" s="685">
        <v>0</v>
      </c>
      <c r="I293" s="521"/>
      <c r="J293" s="521"/>
      <c r="K293" s="521">
        <v>26</v>
      </c>
      <c r="L293" s="685">
        <v>-203.935</v>
      </c>
      <c r="M293" s="685">
        <v>-348.04199999999997</v>
      </c>
      <c r="N293" s="685"/>
      <c r="O293" s="685">
        <v>-19.997</v>
      </c>
      <c r="P293" s="685">
        <v>-39.622</v>
      </c>
      <c r="Q293" s="685">
        <v>-74.173000000000002</v>
      </c>
    </row>
    <row r="294" spans="1:17">
      <c r="A294" s="885"/>
      <c r="B294" s="881">
        <v>27</v>
      </c>
      <c r="C294" s="882">
        <v>2.6480000000000001</v>
      </c>
      <c r="D294" s="882">
        <v>7.3940000000000001</v>
      </c>
      <c r="E294" s="882"/>
      <c r="F294" s="882">
        <v>208.75</v>
      </c>
      <c r="G294" s="882">
        <v>0</v>
      </c>
      <c r="H294" s="882">
        <v>0</v>
      </c>
      <c r="I294" s="881"/>
      <c r="J294" s="881"/>
      <c r="K294" s="881">
        <v>27</v>
      </c>
      <c r="L294" s="882">
        <v>-248.76499999999999</v>
      </c>
      <c r="M294" s="882">
        <v>-364.55099999999999</v>
      </c>
      <c r="N294" s="882"/>
      <c r="O294" s="882">
        <v>-30.780999999999999</v>
      </c>
      <c r="P294" s="882">
        <v>-49.106999999999999</v>
      </c>
      <c r="Q294" s="882">
        <v>-74.010000000000005</v>
      </c>
    </row>
    <row r="295" spans="1:17">
      <c r="B295" s="521">
        <v>28</v>
      </c>
      <c r="C295" s="685">
        <v>27.053000000000001</v>
      </c>
      <c r="D295" s="685">
        <v>3.6389999999999998</v>
      </c>
      <c r="E295" s="685"/>
      <c r="F295" s="685">
        <v>102.76</v>
      </c>
      <c r="G295" s="685">
        <v>0</v>
      </c>
      <c r="H295" s="685">
        <v>0</v>
      </c>
      <c r="I295" s="521"/>
      <c r="J295" s="521"/>
      <c r="K295" s="521">
        <v>28</v>
      </c>
      <c r="L295" s="685">
        <v>-168.273</v>
      </c>
      <c r="M295" s="685">
        <v>-374.12</v>
      </c>
      <c r="N295" s="685"/>
      <c r="O295" s="685">
        <v>-72.733999999999995</v>
      </c>
      <c r="P295" s="685">
        <v>-28.956</v>
      </c>
      <c r="Q295" s="685">
        <v>-76.313000000000002</v>
      </c>
    </row>
    <row r="296" spans="1:17">
      <c r="A296" s="885"/>
      <c r="B296" s="881">
        <v>29</v>
      </c>
      <c r="C296" s="882">
        <v>5.0170000000000003</v>
      </c>
      <c r="D296" s="882">
        <v>2.1040000000000001</v>
      </c>
      <c r="E296" s="882"/>
      <c r="F296" s="882">
        <v>92.986000000000004</v>
      </c>
      <c r="G296" s="882">
        <v>0</v>
      </c>
      <c r="H296" s="882">
        <v>0</v>
      </c>
      <c r="I296" s="881"/>
      <c r="J296" s="881"/>
      <c r="K296" s="881">
        <v>29</v>
      </c>
      <c r="L296" s="882">
        <v>-248.90299999999999</v>
      </c>
      <c r="M296" s="882">
        <v>-397.90499999999997</v>
      </c>
      <c r="N296" s="882"/>
      <c r="O296" s="882">
        <v>-73.430999999999997</v>
      </c>
      <c r="P296" s="882">
        <v>-64.480999999999995</v>
      </c>
      <c r="Q296" s="882">
        <v>-80.686000000000007</v>
      </c>
    </row>
    <row r="297" spans="1:17">
      <c r="B297" s="521">
        <v>30</v>
      </c>
      <c r="C297" s="685">
        <v>21.367000000000001</v>
      </c>
      <c r="D297" s="685">
        <v>1.9550000000000001</v>
      </c>
      <c r="E297" s="685"/>
      <c r="F297" s="685">
        <v>51.872</v>
      </c>
      <c r="G297" s="685">
        <v>0.84599999999999997</v>
      </c>
      <c r="H297" s="685">
        <v>0</v>
      </c>
      <c r="I297" s="521"/>
      <c r="J297" s="521"/>
      <c r="K297" s="521">
        <v>30</v>
      </c>
      <c r="L297" s="685">
        <v>-182.61099999999999</v>
      </c>
      <c r="M297" s="685">
        <v>-405.17099999999999</v>
      </c>
      <c r="N297" s="685"/>
      <c r="O297" s="685">
        <v>-83.793999999999997</v>
      </c>
      <c r="P297" s="685">
        <v>-52.548999999999999</v>
      </c>
      <c r="Q297" s="685">
        <v>-81.587999999999994</v>
      </c>
    </row>
    <row r="298" spans="1:17">
      <c r="A298" s="885"/>
      <c r="B298" s="881">
        <v>31</v>
      </c>
      <c r="C298" s="882">
        <v>0.32500000000000001</v>
      </c>
      <c r="D298" s="882">
        <v>1.964</v>
      </c>
      <c r="E298" s="882"/>
      <c r="F298" s="882">
        <v>31.542999999999999</v>
      </c>
      <c r="G298" s="882">
        <v>0</v>
      </c>
      <c r="H298" s="882">
        <v>0</v>
      </c>
      <c r="I298" s="881"/>
      <c r="J298" s="881"/>
      <c r="K298" s="881">
        <v>31</v>
      </c>
      <c r="L298" s="882">
        <v>-219.17099999999999</v>
      </c>
      <c r="M298" s="882">
        <v>-402.98500000000001</v>
      </c>
      <c r="N298" s="882"/>
      <c r="O298" s="882">
        <v>-217.76499999999999</v>
      </c>
      <c r="P298" s="882">
        <v>-38.639000000000003</v>
      </c>
      <c r="Q298" s="882">
        <v>-81.426000000000002</v>
      </c>
    </row>
    <row r="299" spans="1:17">
      <c r="B299" s="521">
        <v>32</v>
      </c>
      <c r="C299" s="685">
        <v>3.0089999999999999</v>
      </c>
      <c r="D299" s="685">
        <v>2.569</v>
      </c>
      <c r="E299" s="685"/>
      <c r="F299" s="685">
        <v>102.991</v>
      </c>
      <c r="G299" s="685">
        <v>0</v>
      </c>
      <c r="H299" s="685">
        <v>0</v>
      </c>
      <c r="I299" s="521"/>
      <c r="J299" s="521"/>
      <c r="K299" s="521">
        <v>32</v>
      </c>
      <c r="L299" s="685">
        <v>-251.97300000000001</v>
      </c>
      <c r="M299" s="685">
        <v>-391.18700000000001</v>
      </c>
      <c r="N299" s="685"/>
      <c r="O299" s="685">
        <v>-102.24299999999999</v>
      </c>
      <c r="P299" s="685">
        <v>-50.439</v>
      </c>
      <c r="Q299" s="685">
        <v>-83.870999999999995</v>
      </c>
    </row>
    <row r="300" spans="1:17">
      <c r="A300" s="885"/>
      <c r="B300" s="881">
        <v>33</v>
      </c>
      <c r="C300" s="882">
        <v>10.377000000000001</v>
      </c>
      <c r="D300" s="882">
        <v>2.8980000000000001</v>
      </c>
      <c r="E300" s="882"/>
      <c r="F300" s="882">
        <v>81.992999999999995</v>
      </c>
      <c r="G300" s="882">
        <v>1.415</v>
      </c>
      <c r="H300" s="882">
        <v>0</v>
      </c>
      <c r="I300" s="881"/>
      <c r="J300" s="881"/>
      <c r="K300" s="881">
        <v>33</v>
      </c>
      <c r="L300" s="882">
        <v>-140.386</v>
      </c>
      <c r="M300" s="882">
        <v>-396.77199999999999</v>
      </c>
      <c r="N300" s="882"/>
      <c r="O300" s="882">
        <v>-78.992000000000004</v>
      </c>
      <c r="P300" s="882">
        <v>-54.076000000000001</v>
      </c>
      <c r="Q300" s="882">
        <v>-86.031999999999996</v>
      </c>
    </row>
    <row r="301" spans="1:17">
      <c r="B301" s="521">
        <v>34</v>
      </c>
      <c r="C301" s="685">
        <v>39.688000000000002</v>
      </c>
      <c r="D301" s="685">
        <v>4.0270000000000001</v>
      </c>
      <c r="E301" s="685"/>
      <c r="F301" s="685">
        <v>186.459</v>
      </c>
      <c r="G301" s="685">
        <v>3.6280000000000001</v>
      </c>
      <c r="H301" s="685">
        <v>0.246</v>
      </c>
      <c r="I301" s="521"/>
      <c r="J301" s="521"/>
      <c r="K301" s="521">
        <v>34</v>
      </c>
      <c r="L301" s="685">
        <v>-113.36</v>
      </c>
      <c r="M301" s="685">
        <v>-374.49400000000003</v>
      </c>
      <c r="N301" s="685"/>
      <c r="O301" s="685">
        <v>-22.998999999999999</v>
      </c>
      <c r="P301" s="685">
        <v>-57.45</v>
      </c>
      <c r="Q301" s="685">
        <v>-82.317999999999998</v>
      </c>
    </row>
    <row r="302" spans="1:17">
      <c r="A302" s="885"/>
      <c r="B302" s="881">
        <v>35</v>
      </c>
      <c r="C302" s="882">
        <v>28.385999999999999</v>
      </c>
      <c r="D302" s="882">
        <v>3.7480000000000002</v>
      </c>
      <c r="E302" s="882"/>
      <c r="F302" s="882">
        <v>347.32100000000003</v>
      </c>
      <c r="G302" s="882">
        <v>0.155</v>
      </c>
      <c r="H302" s="882">
        <v>0</v>
      </c>
      <c r="I302" s="881"/>
      <c r="J302" s="881"/>
      <c r="K302" s="881">
        <v>35</v>
      </c>
      <c r="L302" s="882">
        <v>-189.85400000000001</v>
      </c>
      <c r="M302" s="882">
        <v>-414.899</v>
      </c>
      <c r="N302" s="882"/>
      <c r="O302" s="882">
        <v>-14.452</v>
      </c>
      <c r="P302" s="882">
        <v>-62.140999999999998</v>
      </c>
      <c r="Q302" s="882">
        <v>-76.245000000000005</v>
      </c>
    </row>
    <row r="303" spans="1:17">
      <c r="B303" s="521">
        <v>36</v>
      </c>
      <c r="C303" s="685">
        <v>41.85</v>
      </c>
      <c r="D303" s="685">
        <v>6.585</v>
      </c>
      <c r="E303" s="685"/>
      <c r="F303" s="685">
        <v>278.73399999999998</v>
      </c>
      <c r="G303" s="685">
        <v>3.6760000000000002</v>
      </c>
      <c r="H303" s="685">
        <v>0</v>
      </c>
      <c r="I303" s="521"/>
      <c r="J303" s="521"/>
      <c r="K303" s="521">
        <v>36</v>
      </c>
      <c r="L303" s="685">
        <v>-79.063000000000002</v>
      </c>
      <c r="M303" s="685">
        <v>-408.94</v>
      </c>
      <c r="N303" s="685"/>
      <c r="O303" s="685">
        <v>-42.045000000000002</v>
      </c>
      <c r="P303" s="685">
        <v>-28.303000000000001</v>
      </c>
      <c r="Q303" s="685">
        <v>-85.105999999999995</v>
      </c>
    </row>
    <row r="304" spans="1:17">
      <c r="A304" s="885"/>
      <c r="B304" s="881">
        <v>37</v>
      </c>
      <c r="C304" s="882">
        <v>18.774999999999999</v>
      </c>
      <c r="D304" s="882">
        <v>5.6139999999999999</v>
      </c>
      <c r="E304" s="882"/>
      <c r="F304" s="882">
        <v>278.726</v>
      </c>
      <c r="G304" s="882">
        <v>0.13500000000000001</v>
      </c>
      <c r="H304" s="882">
        <v>0</v>
      </c>
      <c r="I304" s="881"/>
      <c r="J304" s="881"/>
      <c r="K304" s="881">
        <v>37</v>
      </c>
      <c r="L304" s="882">
        <v>-130.65700000000001</v>
      </c>
      <c r="M304" s="882">
        <v>-356.35899999999998</v>
      </c>
      <c r="N304" s="882"/>
      <c r="O304" s="882">
        <v>-23.78</v>
      </c>
      <c r="P304" s="882">
        <v>-59.781999999999996</v>
      </c>
      <c r="Q304" s="882">
        <v>-81.688999999999993</v>
      </c>
    </row>
    <row r="305" spans="1:17">
      <c r="B305" s="521">
        <v>38</v>
      </c>
      <c r="C305" s="685">
        <v>88.819000000000003</v>
      </c>
      <c r="D305" s="685">
        <v>7.7140000000000004</v>
      </c>
      <c r="E305" s="685"/>
      <c r="F305" s="685">
        <v>231.012</v>
      </c>
      <c r="G305" s="685">
        <v>0</v>
      </c>
      <c r="H305" s="685">
        <v>0</v>
      </c>
      <c r="I305" s="521"/>
      <c r="J305" s="521"/>
      <c r="K305" s="521">
        <v>38</v>
      </c>
      <c r="L305" s="685">
        <v>-92.617000000000004</v>
      </c>
      <c r="M305" s="685">
        <v>-338.90499999999997</v>
      </c>
      <c r="N305" s="685"/>
      <c r="O305" s="685">
        <v>-61.061</v>
      </c>
      <c r="P305" s="685">
        <v>-0.14099999999999999</v>
      </c>
      <c r="Q305" s="685">
        <v>-66.936000000000007</v>
      </c>
    </row>
    <row r="306" spans="1:17">
      <c r="A306" s="885"/>
      <c r="B306" s="881">
        <v>39</v>
      </c>
      <c r="C306" s="882">
        <v>16.733000000000001</v>
      </c>
      <c r="D306" s="882">
        <v>8.1120000000000001</v>
      </c>
      <c r="E306" s="882"/>
      <c r="F306" s="882">
        <v>227.983</v>
      </c>
      <c r="G306" s="882">
        <v>0</v>
      </c>
      <c r="H306" s="882">
        <v>0</v>
      </c>
      <c r="I306" s="881"/>
      <c r="J306" s="881"/>
      <c r="K306" s="881">
        <v>39</v>
      </c>
      <c r="L306" s="882">
        <v>-216.12</v>
      </c>
      <c r="M306" s="882">
        <v>-303.017</v>
      </c>
      <c r="N306" s="882"/>
      <c r="O306" s="882">
        <v>-84.988</v>
      </c>
      <c r="P306" s="882">
        <v>0</v>
      </c>
      <c r="Q306" s="882">
        <v>0</v>
      </c>
    </row>
    <row r="307" spans="1:17">
      <c r="B307" s="521">
        <v>40</v>
      </c>
      <c r="C307" s="685">
        <v>3.7999999999999999E-2</v>
      </c>
      <c r="D307" s="685">
        <v>5.8170000000000002</v>
      </c>
      <c r="E307" s="685"/>
      <c r="F307" s="685">
        <v>126.706</v>
      </c>
      <c r="G307" s="685">
        <v>0</v>
      </c>
      <c r="H307" s="685">
        <v>0</v>
      </c>
      <c r="I307" s="521"/>
      <c r="J307" s="521"/>
      <c r="K307" s="521">
        <v>40</v>
      </c>
      <c r="L307" s="685">
        <v>-289.94</v>
      </c>
      <c r="M307" s="685">
        <v>-313.995</v>
      </c>
      <c r="N307" s="685"/>
      <c r="O307" s="685">
        <v>-117.70099999999999</v>
      </c>
      <c r="P307" s="685">
        <v>-18.411999999999999</v>
      </c>
      <c r="Q307" s="685">
        <v>-14.504</v>
      </c>
    </row>
    <row r="308" spans="1:17">
      <c r="A308" s="885"/>
      <c r="B308" s="881">
        <v>41</v>
      </c>
      <c r="C308" s="882">
        <v>22.756</v>
      </c>
      <c r="D308" s="882">
        <v>13.837</v>
      </c>
      <c r="E308" s="882"/>
      <c r="F308" s="882">
        <v>48.613999999999997</v>
      </c>
      <c r="G308" s="882">
        <v>1.994</v>
      </c>
      <c r="H308" s="882">
        <v>0</v>
      </c>
      <c r="I308" s="881"/>
      <c r="J308" s="881"/>
      <c r="K308" s="881">
        <v>41</v>
      </c>
      <c r="L308" s="882">
        <v>-176.81399999999999</v>
      </c>
      <c r="M308" s="882">
        <v>-300.91399999999999</v>
      </c>
      <c r="N308" s="882"/>
      <c r="O308" s="882">
        <v>-102.473</v>
      </c>
      <c r="P308" s="882">
        <v>-61.304000000000002</v>
      </c>
      <c r="Q308" s="882">
        <v>-82.238</v>
      </c>
    </row>
    <row r="309" spans="1:17">
      <c r="B309" s="521">
        <v>42</v>
      </c>
      <c r="C309" s="685">
        <v>15.499000000000001</v>
      </c>
      <c r="D309" s="685">
        <v>8.4930000000000003</v>
      </c>
      <c r="E309" s="685"/>
      <c r="F309" s="685">
        <v>169.42</v>
      </c>
      <c r="G309" s="685">
        <v>0</v>
      </c>
      <c r="H309" s="685">
        <v>0</v>
      </c>
      <c r="I309" s="521"/>
      <c r="J309" s="521"/>
      <c r="K309" s="521">
        <v>42</v>
      </c>
      <c r="L309" s="685">
        <v>-183.773</v>
      </c>
      <c r="M309" s="685">
        <v>-313.00900000000001</v>
      </c>
      <c r="N309" s="685"/>
      <c r="O309" s="685">
        <v>-59.277000000000001</v>
      </c>
      <c r="P309" s="685">
        <v>-98.066000000000003</v>
      </c>
      <c r="Q309" s="685">
        <v>-73.356999999999999</v>
      </c>
    </row>
    <row r="310" spans="1:17">
      <c r="A310" s="885"/>
      <c r="B310" s="881">
        <v>43</v>
      </c>
      <c r="C310" s="882">
        <v>11.54</v>
      </c>
      <c r="D310" s="882">
        <v>8.093</v>
      </c>
      <c r="E310" s="882"/>
      <c r="F310" s="882">
        <v>145.327</v>
      </c>
      <c r="G310" s="882">
        <v>0</v>
      </c>
      <c r="H310" s="882">
        <v>0</v>
      </c>
      <c r="I310" s="881"/>
      <c r="J310" s="881"/>
      <c r="K310" s="881">
        <v>43</v>
      </c>
      <c r="L310" s="882">
        <v>-188.03800000000001</v>
      </c>
      <c r="M310" s="882">
        <v>-290.77199999999999</v>
      </c>
      <c r="N310" s="882"/>
      <c r="O310" s="882">
        <v>-106.97499999999999</v>
      </c>
      <c r="P310" s="882">
        <v>-74.483999999999995</v>
      </c>
      <c r="Q310" s="882">
        <v>-66.933999999999997</v>
      </c>
    </row>
    <row r="311" spans="1:17">
      <c r="B311" s="521">
        <v>44</v>
      </c>
      <c r="C311" s="685">
        <v>21.742000000000001</v>
      </c>
      <c r="D311" s="685">
        <v>10.582000000000001</v>
      </c>
      <c r="E311" s="685"/>
      <c r="F311" s="685">
        <v>140.96600000000001</v>
      </c>
      <c r="G311" s="685">
        <v>0</v>
      </c>
      <c r="H311" s="685">
        <v>0</v>
      </c>
      <c r="I311" s="521"/>
      <c r="J311" s="521"/>
      <c r="K311" s="521">
        <v>44</v>
      </c>
      <c r="L311" s="685">
        <v>-176.51</v>
      </c>
      <c r="M311" s="685">
        <v>-302.08199999999999</v>
      </c>
      <c r="N311" s="685"/>
      <c r="O311" s="685">
        <v>-58.747999999999998</v>
      </c>
      <c r="P311" s="685">
        <v>-82.298000000000002</v>
      </c>
      <c r="Q311" s="685">
        <v>-71.174999999999997</v>
      </c>
    </row>
    <row r="312" spans="1:17">
      <c r="A312" s="885"/>
      <c r="B312" s="881">
        <v>45</v>
      </c>
      <c r="C312" s="882">
        <v>18</v>
      </c>
      <c r="D312" s="882">
        <v>11</v>
      </c>
      <c r="E312" s="882"/>
      <c r="F312" s="882">
        <v>275</v>
      </c>
      <c r="G312" s="882">
        <v>1</v>
      </c>
      <c r="H312" s="882">
        <v>0</v>
      </c>
      <c r="I312" s="881"/>
      <c r="J312" s="881"/>
      <c r="K312" s="881">
        <v>45</v>
      </c>
      <c r="L312" s="882">
        <v>-219</v>
      </c>
      <c r="M312" s="882">
        <v>-352</v>
      </c>
      <c r="N312" s="882"/>
      <c r="O312" s="882">
        <v>-74</v>
      </c>
      <c r="P312" s="882">
        <v>-46</v>
      </c>
      <c r="Q312" s="882">
        <v>-82</v>
      </c>
    </row>
    <row r="313" spans="1:17">
      <c r="B313" s="521">
        <v>46</v>
      </c>
      <c r="C313" s="685">
        <v>99</v>
      </c>
      <c r="D313" s="685">
        <v>9</v>
      </c>
      <c r="E313" s="685"/>
      <c r="F313" s="685">
        <v>127</v>
      </c>
      <c r="G313" s="685">
        <v>6</v>
      </c>
      <c r="H313" s="685">
        <v>0</v>
      </c>
      <c r="I313" s="521"/>
      <c r="J313" s="521"/>
      <c r="K313" s="521">
        <v>46</v>
      </c>
      <c r="L313" s="685">
        <v>-71</v>
      </c>
      <c r="M313" s="685">
        <v>-359</v>
      </c>
      <c r="N313" s="685"/>
      <c r="O313" s="685">
        <v>-105</v>
      </c>
      <c r="P313" s="685">
        <v>-6</v>
      </c>
      <c r="Q313" s="685">
        <v>-66</v>
      </c>
    </row>
    <row r="314" spans="1:17">
      <c r="A314" s="885"/>
      <c r="B314" s="881">
        <v>47</v>
      </c>
      <c r="C314" s="882">
        <v>118</v>
      </c>
      <c r="D314" s="882">
        <v>8</v>
      </c>
      <c r="E314" s="882"/>
      <c r="F314" s="882">
        <v>212</v>
      </c>
      <c r="G314" s="882">
        <v>2</v>
      </c>
      <c r="H314" s="882">
        <v>1</v>
      </c>
      <c r="I314" s="881"/>
      <c r="J314" s="881"/>
      <c r="K314" s="881">
        <v>47</v>
      </c>
      <c r="L314" s="882">
        <v>-71</v>
      </c>
      <c r="M314" s="882">
        <v>-340</v>
      </c>
      <c r="N314" s="882"/>
      <c r="O314" s="882">
        <v>-44</v>
      </c>
      <c r="P314" s="882">
        <v>-20</v>
      </c>
      <c r="Q314" s="882">
        <v>-55</v>
      </c>
    </row>
    <row r="315" spans="1:17">
      <c r="B315" s="521">
        <v>48</v>
      </c>
      <c r="C315" s="685">
        <v>135</v>
      </c>
      <c r="D315" s="685">
        <v>8</v>
      </c>
      <c r="E315" s="685"/>
      <c r="F315" s="685">
        <v>208</v>
      </c>
      <c r="G315" s="685">
        <v>2</v>
      </c>
      <c r="H315" s="685">
        <v>0</v>
      </c>
      <c r="I315" s="521"/>
      <c r="J315" s="521"/>
      <c r="K315" s="521">
        <v>48</v>
      </c>
      <c r="L315" s="685">
        <v>-46</v>
      </c>
      <c r="M315" s="685">
        <v>-263</v>
      </c>
      <c r="N315" s="685"/>
      <c r="O315" s="685">
        <v>-111</v>
      </c>
      <c r="P315" s="685">
        <v>-19</v>
      </c>
      <c r="Q315" s="685">
        <v>-68</v>
      </c>
    </row>
    <row r="316" spans="1:17">
      <c r="A316" s="885"/>
      <c r="B316" s="881">
        <v>49</v>
      </c>
      <c r="C316" s="882">
        <v>145</v>
      </c>
      <c r="D316" s="882">
        <v>8</v>
      </c>
      <c r="E316" s="882"/>
      <c r="F316" s="882">
        <v>125</v>
      </c>
      <c r="G316" s="882">
        <v>1</v>
      </c>
      <c r="H316" s="882">
        <v>0</v>
      </c>
      <c r="I316" s="881"/>
      <c r="J316" s="881"/>
      <c r="K316" s="881">
        <v>49</v>
      </c>
      <c r="L316" s="882">
        <v>-33</v>
      </c>
      <c r="M316" s="882">
        <v>-322</v>
      </c>
      <c r="N316" s="882"/>
      <c r="O316" s="882">
        <v>-162</v>
      </c>
      <c r="P316" s="882">
        <v>-15</v>
      </c>
      <c r="Q316" s="882">
        <v>-59</v>
      </c>
    </row>
    <row r="317" spans="1:17">
      <c r="B317" s="521">
        <v>50</v>
      </c>
      <c r="C317" s="685">
        <v>93</v>
      </c>
      <c r="D317" s="685">
        <v>3</v>
      </c>
      <c r="E317" s="685"/>
      <c r="F317" s="685">
        <v>127</v>
      </c>
      <c r="G317" s="685">
        <v>1</v>
      </c>
      <c r="H317" s="685">
        <v>0</v>
      </c>
      <c r="I317" s="521"/>
      <c r="J317" s="521"/>
      <c r="K317" s="521">
        <v>50</v>
      </c>
      <c r="L317" s="685">
        <v>-79</v>
      </c>
      <c r="M317" s="685">
        <v>-378</v>
      </c>
      <c r="N317" s="685"/>
      <c r="O317" s="685">
        <v>-90</v>
      </c>
      <c r="P317" s="685">
        <v>-41</v>
      </c>
      <c r="Q317" s="685">
        <v>-75</v>
      </c>
    </row>
    <row r="318" spans="1:17">
      <c r="A318" s="885"/>
      <c r="B318" s="881">
        <v>51</v>
      </c>
      <c r="C318" s="882">
        <v>107</v>
      </c>
      <c r="D318" s="882">
        <v>6</v>
      </c>
      <c r="E318" s="882"/>
      <c r="F318" s="882">
        <v>285</v>
      </c>
      <c r="G318" s="882">
        <v>1</v>
      </c>
      <c r="H318" s="882">
        <v>0</v>
      </c>
      <c r="I318" s="881"/>
      <c r="J318" s="881"/>
      <c r="K318" s="881">
        <v>51</v>
      </c>
      <c r="L318" s="882">
        <v>-47</v>
      </c>
      <c r="M318" s="882">
        <v>-357</v>
      </c>
      <c r="N318" s="882"/>
      <c r="O318" s="882">
        <v>-51</v>
      </c>
      <c r="P318" s="882">
        <v>-30</v>
      </c>
      <c r="Q318" s="882">
        <v>-80</v>
      </c>
    </row>
    <row r="319" spans="1:17">
      <c r="B319" s="521">
        <v>52</v>
      </c>
      <c r="C319" s="685">
        <v>145</v>
      </c>
      <c r="D319" s="685">
        <v>3</v>
      </c>
      <c r="E319" s="685"/>
      <c r="F319" s="685">
        <v>163</v>
      </c>
      <c r="G319" s="685">
        <v>5</v>
      </c>
      <c r="H319" s="685">
        <v>0</v>
      </c>
      <c r="I319" s="521"/>
      <c r="J319" s="521"/>
      <c r="K319" s="521">
        <v>52</v>
      </c>
      <c r="L319" s="685">
        <v>-39</v>
      </c>
      <c r="M319" s="685">
        <v>-323</v>
      </c>
      <c r="N319" s="685"/>
      <c r="O319" s="685">
        <v>-133</v>
      </c>
      <c r="P319" s="685">
        <v>-5</v>
      </c>
      <c r="Q319" s="685">
        <v>-55</v>
      </c>
    </row>
    <row r="320" spans="1:17">
      <c r="A320" s="885"/>
      <c r="B320" s="881">
        <v>53</v>
      </c>
      <c r="C320" s="882">
        <v>136</v>
      </c>
      <c r="D320" s="882">
        <v>1</v>
      </c>
      <c r="E320" s="882"/>
      <c r="F320" s="882">
        <v>152</v>
      </c>
      <c r="G320" s="882">
        <v>3</v>
      </c>
      <c r="H320" s="882">
        <v>0</v>
      </c>
      <c r="I320" s="881"/>
      <c r="J320" s="881"/>
      <c r="K320" s="881">
        <v>53</v>
      </c>
      <c r="L320" s="882">
        <v>-67</v>
      </c>
      <c r="M320" s="882">
        <v>-403</v>
      </c>
      <c r="N320" s="882"/>
      <c r="O320" s="882">
        <v>-126</v>
      </c>
      <c r="P320" s="882">
        <v>-30</v>
      </c>
      <c r="Q320" s="882">
        <v>-70</v>
      </c>
    </row>
    <row r="321" spans="1:17">
      <c r="A321" s="521">
        <v>2016</v>
      </c>
      <c r="B321" s="521">
        <v>1</v>
      </c>
      <c r="C321" s="685">
        <v>184.09200000000001</v>
      </c>
      <c r="D321" s="685">
        <v>2.278</v>
      </c>
      <c r="E321" s="685">
        <v>0</v>
      </c>
      <c r="F321" s="685">
        <v>292.25200000000001</v>
      </c>
      <c r="G321" s="685">
        <v>5.83</v>
      </c>
      <c r="H321" s="685">
        <v>0</v>
      </c>
      <c r="I321" s="521"/>
      <c r="J321" s="521">
        <v>2016</v>
      </c>
      <c r="K321" s="521">
        <v>1</v>
      </c>
      <c r="L321" s="685">
        <v>-35.814</v>
      </c>
      <c r="M321" s="685">
        <v>-411.346</v>
      </c>
      <c r="N321" s="685">
        <v>0</v>
      </c>
      <c r="O321" s="685">
        <v>-32.042999999999999</v>
      </c>
      <c r="P321" s="685">
        <v>-12.343999999999999</v>
      </c>
      <c r="Q321" s="685">
        <v>-74.519000000000005</v>
      </c>
    </row>
    <row r="322" spans="1:17">
      <c r="A322" s="881"/>
      <c r="B322" s="881">
        <v>2</v>
      </c>
      <c r="C322" s="882">
        <v>150.04900000000001</v>
      </c>
      <c r="D322" s="882">
        <v>4.8079999999999998</v>
      </c>
      <c r="E322" s="882">
        <v>0</v>
      </c>
      <c r="F322" s="882">
        <v>332.85300000000001</v>
      </c>
      <c r="G322" s="882">
        <v>12.371</v>
      </c>
      <c r="H322" s="882">
        <v>0</v>
      </c>
      <c r="I322" s="881"/>
      <c r="J322" s="881"/>
      <c r="K322" s="881">
        <v>2</v>
      </c>
      <c r="L322" s="882">
        <v>-41.584000000000003</v>
      </c>
      <c r="M322" s="882">
        <v>-360.512</v>
      </c>
      <c r="N322" s="882">
        <v>0</v>
      </c>
      <c r="O322" s="882">
        <v>-17.597999999999999</v>
      </c>
      <c r="P322" s="882">
        <v>-20.350999999999999</v>
      </c>
      <c r="Q322" s="882">
        <v>-59.137</v>
      </c>
    </row>
    <row r="323" spans="1:17">
      <c r="A323" s="521"/>
      <c r="B323" s="521">
        <v>3</v>
      </c>
      <c r="C323" s="685">
        <v>145.96799999999999</v>
      </c>
      <c r="D323" s="685">
        <v>3.5840000000000001</v>
      </c>
      <c r="E323" s="685">
        <v>0</v>
      </c>
      <c r="F323" s="685">
        <v>337.89299999999997</v>
      </c>
      <c r="G323" s="685">
        <v>11.281000000000001</v>
      </c>
      <c r="H323" s="685">
        <v>0.65500000000000003</v>
      </c>
      <c r="I323" s="521"/>
      <c r="J323" s="521"/>
      <c r="K323" s="521">
        <v>3</v>
      </c>
      <c r="L323" s="685">
        <v>-34.811999999999998</v>
      </c>
      <c r="M323" s="685">
        <v>-374.36099999999999</v>
      </c>
      <c r="N323" s="685">
        <v>0</v>
      </c>
      <c r="O323" s="685">
        <v>-4.7389999999999999</v>
      </c>
      <c r="P323" s="685">
        <v>-33.932000000000002</v>
      </c>
      <c r="Q323" s="685">
        <v>-53.158000000000001</v>
      </c>
    </row>
    <row r="324" spans="1:17">
      <c r="A324" s="881"/>
      <c r="B324" s="881">
        <v>4</v>
      </c>
      <c r="C324" s="882">
        <v>153.66499999999999</v>
      </c>
      <c r="D324" s="882">
        <v>0.13300000000000001</v>
      </c>
      <c r="E324" s="882">
        <v>0</v>
      </c>
      <c r="F324" s="882">
        <v>74.504999999999995</v>
      </c>
      <c r="G324" s="882">
        <v>3.2080000000000002</v>
      </c>
      <c r="H324" s="882">
        <v>0</v>
      </c>
      <c r="I324" s="881"/>
      <c r="J324" s="881"/>
      <c r="K324" s="881">
        <v>4</v>
      </c>
      <c r="L324" s="882">
        <v>-44.14</v>
      </c>
      <c r="M324" s="882">
        <v>-398.67</v>
      </c>
      <c r="N324" s="882">
        <v>0</v>
      </c>
      <c r="O324" s="882">
        <v>-240.12200000000001</v>
      </c>
      <c r="P324" s="882">
        <v>-21.864000000000001</v>
      </c>
      <c r="Q324" s="882">
        <v>-56.319000000000003</v>
      </c>
    </row>
    <row r="325" spans="1:17">
      <c r="A325" s="521"/>
      <c r="B325" s="521">
        <v>5</v>
      </c>
      <c r="C325" s="685">
        <v>145.154</v>
      </c>
      <c r="D325" s="685">
        <v>0</v>
      </c>
      <c r="E325" s="685">
        <v>1.9159999999999999</v>
      </c>
      <c r="F325" s="685">
        <v>81.525999999999996</v>
      </c>
      <c r="G325" s="685">
        <v>4.1859999999999999</v>
      </c>
      <c r="H325" s="685">
        <v>0</v>
      </c>
      <c r="I325" s="521"/>
      <c r="J325" s="521"/>
      <c r="K325" s="521">
        <v>5</v>
      </c>
      <c r="L325" s="685">
        <v>-55.545000000000002</v>
      </c>
      <c r="M325" s="685">
        <v>-411.44600000000003</v>
      </c>
      <c r="N325" s="685">
        <v>-1.3620000000000001</v>
      </c>
      <c r="O325" s="685">
        <v>-168.339</v>
      </c>
      <c r="P325" s="685">
        <v>-23.678999999999998</v>
      </c>
      <c r="Q325" s="685">
        <v>-47.235999999999997</v>
      </c>
    </row>
    <row r="326" spans="1:17">
      <c r="A326" s="881"/>
      <c r="B326" s="881">
        <v>6</v>
      </c>
      <c r="C326" s="882">
        <v>82.846999999999994</v>
      </c>
      <c r="D326" s="882">
        <v>0</v>
      </c>
      <c r="E326" s="882">
        <v>2.911</v>
      </c>
      <c r="F326" s="882">
        <v>172.554</v>
      </c>
      <c r="G326" s="882">
        <v>4.1040000000000001</v>
      </c>
      <c r="H326" s="882">
        <v>0</v>
      </c>
      <c r="I326" s="881"/>
      <c r="J326" s="881"/>
      <c r="K326" s="881">
        <v>6</v>
      </c>
      <c r="L326" s="882">
        <v>-104.48</v>
      </c>
      <c r="M326" s="882">
        <v>-393.779</v>
      </c>
      <c r="N326" s="882">
        <v>-10.727</v>
      </c>
      <c r="O326" s="882">
        <v>-121.01900000000001</v>
      </c>
      <c r="P326" s="882">
        <v>-54.151000000000003</v>
      </c>
      <c r="Q326" s="882">
        <v>-60.075000000000003</v>
      </c>
    </row>
    <row r="327" spans="1:17">
      <c r="A327" s="521"/>
      <c r="B327" s="521">
        <v>7</v>
      </c>
      <c r="C327" s="685">
        <v>108.825</v>
      </c>
      <c r="D327" s="685">
        <v>0</v>
      </c>
      <c r="E327" s="685">
        <v>1E-3</v>
      </c>
      <c r="F327" s="685">
        <v>187.173</v>
      </c>
      <c r="G327" s="685">
        <v>4.6550000000000002</v>
      </c>
      <c r="H327" s="685">
        <v>0</v>
      </c>
      <c r="I327" s="521"/>
      <c r="J327" s="521"/>
      <c r="K327" s="521">
        <v>7</v>
      </c>
      <c r="L327" s="685">
        <v>-62.543999999999997</v>
      </c>
      <c r="M327" s="685">
        <v>-373.71699999999998</v>
      </c>
      <c r="N327" s="685">
        <v>-54.725999999999999</v>
      </c>
      <c r="O327" s="685">
        <v>-105.565</v>
      </c>
      <c r="P327" s="685">
        <v>-60.249000000000002</v>
      </c>
      <c r="Q327" s="685">
        <v>-55.15</v>
      </c>
    </row>
    <row r="328" spans="1:17">
      <c r="A328" s="881"/>
      <c r="B328" s="881">
        <v>8</v>
      </c>
      <c r="C328" s="882">
        <v>125.25700000000001</v>
      </c>
      <c r="D328" s="882">
        <v>0</v>
      </c>
      <c r="E328" s="882">
        <v>0</v>
      </c>
      <c r="F328" s="882">
        <v>250.626</v>
      </c>
      <c r="G328" s="882">
        <v>7.0650000000000004</v>
      </c>
      <c r="H328" s="882">
        <v>0</v>
      </c>
      <c r="I328" s="881"/>
      <c r="J328" s="881"/>
      <c r="K328" s="881">
        <v>8</v>
      </c>
      <c r="L328" s="882">
        <v>-44.319000000000003</v>
      </c>
      <c r="M328" s="882">
        <v>-406.03899999999999</v>
      </c>
      <c r="N328" s="882">
        <v>-95.805999999999997</v>
      </c>
      <c r="O328" s="882">
        <v>-51.267000000000003</v>
      </c>
      <c r="P328" s="882">
        <v>-70.748000000000005</v>
      </c>
      <c r="Q328" s="882">
        <v>-51.421999999999997</v>
      </c>
    </row>
    <row r="329" spans="1:17">
      <c r="A329" s="521"/>
      <c r="B329" s="521">
        <v>9</v>
      </c>
      <c r="C329" s="685">
        <v>88.835999999999999</v>
      </c>
      <c r="D329" s="685">
        <v>0</v>
      </c>
      <c r="E329" s="685">
        <v>0</v>
      </c>
      <c r="F329" s="685">
        <v>274.63400000000001</v>
      </c>
      <c r="G329" s="685">
        <v>5.6189999999999998</v>
      </c>
      <c r="H329" s="685">
        <v>2.141</v>
      </c>
      <c r="I329" s="521"/>
      <c r="J329" s="521"/>
      <c r="K329" s="521">
        <v>9</v>
      </c>
      <c r="L329" s="685">
        <v>-80.668999999999997</v>
      </c>
      <c r="M329" s="685">
        <v>-379.255</v>
      </c>
      <c r="N329" s="685">
        <v>-101.666</v>
      </c>
      <c r="O329" s="685">
        <v>-33.665999999999997</v>
      </c>
      <c r="P329" s="685">
        <v>-41.072000000000003</v>
      </c>
      <c r="Q329" s="685">
        <v>-64.694999999999993</v>
      </c>
    </row>
    <row r="330" spans="1:17">
      <c r="A330" s="881"/>
      <c r="B330" s="881">
        <v>10</v>
      </c>
      <c r="C330" s="882">
        <v>29.256</v>
      </c>
      <c r="D330" s="882">
        <v>0.16700000000000001</v>
      </c>
      <c r="E330" s="882">
        <v>0</v>
      </c>
      <c r="F330" s="882">
        <v>356.05099999999999</v>
      </c>
      <c r="G330" s="882">
        <v>3.6549999999999998</v>
      </c>
      <c r="H330" s="882">
        <v>0</v>
      </c>
      <c r="I330" s="881"/>
      <c r="J330" s="881"/>
      <c r="K330" s="881">
        <v>10</v>
      </c>
      <c r="L330" s="882">
        <v>-58.793999999999997</v>
      </c>
      <c r="M330" s="882">
        <v>-358.56099999999998</v>
      </c>
      <c r="N330" s="882">
        <v>-90.960999999999999</v>
      </c>
      <c r="O330" s="882">
        <v>-22.565000000000001</v>
      </c>
      <c r="P330" s="882">
        <v>-69.447000000000003</v>
      </c>
      <c r="Q330" s="882">
        <v>-70.165999999999997</v>
      </c>
    </row>
    <row r="331" spans="1:17">
      <c r="A331" s="521"/>
      <c r="B331" s="521">
        <v>11</v>
      </c>
      <c r="C331" s="685">
        <v>32.69</v>
      </c>
      <c r="D331" s="685">
        <v>0.20399999999999999</v>
      </c>
      <c r="E331" s="685">
        <v>6.9000000000000006E-2</v>
      </c>
      <c r="F331" s="685">
        <v>239.869</v>
      </c>
      <c r="G331" s="685">
        <v>1.653</v>
      </c>
      <c r="H331" s="685">
        <v>8.4000000000000005E-2</v>
      </c>
      <c r="I331" s="521"/>
      <c r="J331" s="521"/>
      <c r="K331" s="521">
        <v>11</v>
      </c>
      <c r="L331" s="685">
        <v>-102.596</v>
      </c>
      <c r="M331" s="685">
        <v>-358.67</v>
      </c>
      <c r="N331" s="685">
        <v>-63.386000000000003</v>
      </c>
      <c r="O331" s="685">
        <v>-63.904000000000003</v>
      </c>
      <c r="P331" s="685">
        <v>-59.582999999999998</v>
      </c>
      <c r="Q331" s="685">
        <v>-71.48</v>
      </c>
    </row>
    <row r="332" spans="1:17">
      <c r="A332" s="881"/>
      <c r="B332" s="881">
        <v>12</v>
      </c>
      <c r="C332" s="882">
        <v>62.277999999999999</v>
      </c>
      <c r="D332" s="882">
        <v>8.5000000000000006E-2</v>
      </c>
      <c r="E332" s="882">
        <v>0</v>
      </c>
      <c r="F332" s="882">
        <v>191.435</v>
      </c>
      <c r="G332" s="882">
        <v>5.0339999999999998</v>
      </c>
      <c r="H332" s="882">
        <v>0</v>
      </c>
      <c r="I332" s="881"/>
      <c r="J332" s="881"/>
      <c r="K332" s="881">
        <v>12</v>
      </c>
      <c r="L332" s="882">
        <v>-38.622</v>
      </c>
      <c r="M332" s="882">
        <v>-386.46600000000001</v>
      </c>
      <c r="N332" s="882">
        <v>0</v>
      </c>
      <c r="O332" s="882">
        <v>-109.59699999999999</v>
      </c>
      <c r="P332" s="882">
        <v>-60.762</v>
      </c>
      <c r="Q332" s="882">
        <v>-71.262</v>
      </c>
    </row>
    <row r="333" spans="1:17">
      <c r="A333" s="521"/>
      <c r="B333" s="521">
        <v>13</v>
      </c>
      <c r="C333" s="685">
        <v>81.314999999999998</v>
      </c>
      <c r="D333" s="685">
        <v>1.2999999999999999E-2</v>
      </c>
      <c r="E333" s="685">
        <v>6.9000000000000006E-2</v>
      </c>
      <c r="F333" s="685">
        <v>197.45500000000001</v>
      </c>
      <c r="G333" s="685">
        <v>13.287000000000001</v>
      </c>
      <c r="H333" s="685">
        <v>0</v>
      </c>
      <c r="I333" s="521"/>
      <c r="J333" s="521"/>
      <c r="K333" s="521">
        <v>13</v>
      </c>
      <c r="L333" s="685">
        <v>-77.576999999999998</v>
      </c>
      <c r="M333" s="685">
        <v>-327.31599999999997</v>
      </c>
      <c r="N333" s="685">
        <v>-62.13</v>
      </c>
      <c r="O333" s="685">
        <v>-109.874</v>
      </c>
      <c r="P333" s="685">
        <v>-50.473999999999997</v>
      </c>
      <c r="Q333" s="685">
        <v>-74.522000000000006</v>
      </c>
    </row>
    <row r="334" spans="1:17">
      <c r="A334" s="881"/>
      <c r="B334" s="881">
        <v>14</v>
      </c>
      <c r="C334" s="882">
        <v>61.447000000000003</v>
      </c>
      <c r="D334" s="882">
        <v>0.153</v>
      </c>
      <c r="E334" s="882">
        <v>6.0000000000000001E-3</v>
      </c>
      <c r="F334" s="882">
        <v>213.62</v>
      </c>
      <c r="G334" s="882">
        <v>6.8369999999999997</v>
      </c>
      <c r="H334" s="882">
        <v>0</v>
      </c>
      <c r="I334" s="881"/>
      <c r="J334" s="881"/>
      <c r="K334" s="881">
        <v>14</v>
      </c>
      <c r="L334" s="882">
        <v>-56.149000000000001</v>
      </c>
      <c r="M334" s="882">
        <v>-301.31200000000001</v>
      </c>
      <c r="N334" s="882">
        <v>-103.232</v>
      </c>
      <c r="O334" s="882">
        <v>-81.019000000000005</v>
      </c>
      <c r="P334" s="882">
        <v>-47.935000000000002</v>
      </c>
      <c r="Q334" s="882">
        <v>-70.188000000000002</v>
      </c>
    </row>
    <row r="335" spans="1:17">
      <c r="A335" s="521"/>
      <c r="B335" s="521">
        <v>15</v>
      </c>
      <c r="C335" s="685">
        <v>70.873000000000005</v>
      </c>
      <c r="D335" s="685">
        <v>0.432</v>
      </c>
      <c r="E335" s="685">
        <v>0</v>
      </c>
      <c r="F335" s="685">
        <v>205.39699999999999</v>
      </c>
      <c r="G335" s="685">
        <v>6.8659999999999997</v>
      </c>
      <c r="H335" s="685">
        <v>0</v>
      </c>
      <c r="I335" s="521"/>
      <c r="J335" s="521"/>
      <c r="K335" s="521">
        <v>15</v>
      </c>
      <c r="L335" s="685">
        <v>-67.522000000000006</v>
      </c>
      <c r="M335" s="685">
        <v>-348.29199999999997</v>
      </c>
      <c r="N335" s="685">
        <v>-51.719000000000001</v>
      </c>
      <c r="O335" s="685">
        <v>-107.646</v>
      </c>
      <c r="P335" s="685">
        <v>-38.103999999999999</v>
      </c>
      <c r="Q335" s="685">
        <v>-70.338999999999999</v>
      </c>
    </row>
    <row r="336" spans="1:17">
      <c r="A336" s="881"/>
      <c r="B336" s="881">
        <v>16</v>
      </c>
      <c r="C336" s="882">
        <v>73.712999999999994</v>
      </c>
      <c r="D336" s="882">
        <v>2.782</v>
      </c>
      <c r="E336" s="882">
        <v>6.4000000000000001E-2</v>
      </c>
      <c r="F336" s="882">
        <v>41.423999999999999</v>
      </c>
      <c r="G336" s="882">
        <v>0</v>
      </c>
      <c r="H336" s="882">
        <v>0</v>
      </c>
      <c r="I336" s="881"/>
      <c r="J336" s="881"/>
      <c r="K336" s="881">
        <v>16</v>
      </c>
      <c r="L336" s="882">
        <v>-58.725000000000001</v>
      </c>
      <c r="M336" s="882">
        <v>-230.24600000000001</v>
      </c>
      <c r="N336" s="882">
        <v>-36.44</v>
      </c>
      <c r="O336" s="882">
        <v>-209.684</v>
      </c>
      <c r="P336" s="882">
        <v>-1.7000000000000001E-2</v>
      </c>
      <c r="Q336" s="882">
        <v>-66.078000000000003</v>
      </c>
    </row>
    <row r="337" spans="1:17">
      <c r="A337" s="521"/>
      <c r="B337" s="521">
        <v>17</v>
      </c>
      <c r="C337" s="685">
        <v>51.171999999999997</v>
      </c>
      <c r="D337" s="685">
        <v>14.097</v>
      </c>
      <c r="E337" s="685">
        <v>4.2000000000000003E-2</v>
      </c>
      <c r="F337" s="685">
        <v>115.681</v>
      </c>
      <c r="G337" s="685">
        <v>11.417</v>
      </c>
      <c r="H337" s="685">
        <v>0</v>
      </c>
      <c r="I337" s="521"/>
      <c r="J337" s="521"/>
      <c r="K337" s="521">
        <v>17</v>
      </c>
      <c r="L337" s="685">
        <v>-92.55</v>
      </c>
      <c r="M337" s="685">
        <v>-219.137</v>
      </c>
      <c r="N337" s="685">
        <v>-34.518000000000001</v>
      </c>
      <c r="O337" s="685">
        <v>-145.99199999999999</v>
      </c>
      <c r="P337" s="685">
        <v>-37.256</v>
      </c>
      <c r="Q337" s="685">
        <v>-84.007999999999996</v>
      </c>
    </row>
    <row r="338" spans="1:17">
      <c r="A338" s="881"/>
      <c r="B338" s="881">
        <v>18</v>
      </c>
      <c r="C338" s="882">
        <v>49.545999999999999</v>
      </c>
      <c r="D338" s="882">
        <v>9.2710000000000008</v>
      </c>
      <c r="E338" s="882">
        <v>0</v>
      </c>
      <c r="F338" s="882">
        <v>110.331</v>
      </c>
      <c r="G338" s="882">
        <v>15.115</v>
      </c>
      <c r="H338" s="882">
        <v>0</v>
      </c>
      <c r="I338" s="881"/>
      <c r="J338" s="881"/>
      <c r="K338" s="881">
        <v>18</v>
      </c>
      <c r="L338" s="882">
        <v>-98.697999999999993</v>
      </c>
      <c r="M338" s="882">
        <v>-229.64599999999999</v>
      </c>
      <c r="N338" s="882">
        <v>-97.608999999999995</v>
      </c>
      <c r="O338" s="882">
        <v>-162.477</v>
      </c>
      <c r="P338" s="882">
        <v>-28.640999999999998</v>
      </c>
      <c r="Q338" s="882">
        <v>-68.492000000000004</v>
      </c>
    </row>
    <row r="339" spans="1:17">
      <c r="A339" s="521"/>
      <c r="B339" s="521">
        <v>19</v>
      </c>
      <c r="C339" s="685">
        <v>73.046999999999997</v>
      </c>
      <c r="D339" s="685">
        <v>4.6929999999999996</v>
      </c>
      <c r="E339" s="685">
        <v>0</v>
      </c>
      <c r="F339" s="685">
        <v>225.476</v>
      </c>
      <c r="G339" s="685">
        <v>7.2050000000000001</v>
      </c>
      <c r="H339" s="685">
        <v>0</v>
      </c>
      <c r="I339" s="521"/>
      <c r="J339" s="521"/>
      <c r="K339" s="521">
        <v>19</v>
      </c>
      <c r="L339" s="685">
        <v>-79.613</v>
      </c>
      <c r="M339" s="685">
        <v>-349.952</v>
      </c>
      <c r="N339" s="685">
        <v>-110.98399999999999</v>
      </c>
      <c r="O339" s="685">
        <v>-70.971999999999994</v>
      </c>
      <c r="P339" s="685">
        <v>-22.826000000000001</v>
      </c>
      <c r="Q339" s="685">
        <v>-76.2</v>
      </c>
    </row>
    <row r="340" spans="1:17">
      <c r="A340" s="881"/>
      <c r="B340" s="881">
        <v>20</v>
      </c>
      <c r="C340" s="882">
        <v>89.17</v>
      </c>
      <c r="D340" s="882">
        <v>1.806</v>
      </c>
      <c r="E340" s="882">
        <v>0</v>
      </c>
      <c r="F340" s="882">
        <v>372.03699999999998</v>
      </c>
      <c r="G340" s="882">
        <v>13.583</v>
      </c>
      <c r="H340" s="882">
        <v>0</v>
      </c>
      <c r="I340" s="881"/>
      <c r="J340" s="881"/>
      <c r="K340" s="881">
        <v>20</v>
      </c>
      <c r="L340" s="882">
        <v>-97.347999999999999</v>
      </c>
      <c r="M340" s="882">
        <v>-349.08800000000002</v>
      </c>
      <c r="N340" s="882">
        <v>-93.078000000000003</v>
      </c>
      <c r="O340" s="882">
        <v>-34.954000000000001</v>
      </c>
      <c r="P340" s="882">
        <v>-30.393000000000001</v>
      </c>
      <c r="Q340" s="882">
        <v>-66.745000000000005</v>
      </c>
    </row>
    <row r="341" spans="1:17">
      <c r="A341" s="521"/>
      <c r="B341" s="521">
        <v>21</v>
      </c>
      <c r="C341" s="685">
        <v>52.654000000000003</v>
      </c>
      <c r="D341" s="685">
        <v>3.806</v>
      </c>
      <c r="E341" s="685">
        <v>0</v>
      </c>
      <c r="F341" s="685">
        <v>344.6</v>
      </c>
      <c r="G341" s="685">
        <v>9.9510000000000005</v>
      </c>
      <c r="H341" s="685">
        <v>0</v>
      </c>
      <c r="I341" s="521"/>
      <c r="J341" s="521"/>
      <c r="K341" s="521">
        <v>21</v>
      </c>
      <c r="L341" s="685">
        <v>-167.95599999999999</v>
      </c>
      <c r="M341" s="685">
        <v>-359.02800000000002</v>
      </c>
      <c r="N341" s="685">
        <v>-2.931</v>
      </c>
      <c r="O341" s="685">
        <v>-19.494</v>
      </c>
      <c r="P341" s="685">
        <v>-61.292000000000002</v>
      </c>
      <c r="Q341" s="685">
        <v>-69.772999999999996</v>
      </c>
    </row>
    <row r="342" spans="1:17">
      <c r="A342" s="881"/>
      <c r="B342" s="881">
        <v>22</v>
      </c>
      <c r="C342" s="882">
        <v>83.316999999999993</v>
      </c>
      <c r="D342" s="882">
        <v>0.15</v>
      </c>
      <c r="E342" s="882">
        <v>0</v>
      </c>
      <c r="F342" s="882">
        <v>358.29700000000003</v>
      </c>
      <c r="G342" s="882">
        <v>16.274000000000001</v>
      </c>
      <c r="H342" s="882">
        <v>2.09</v>
      </c>
      <c r="I342" s="881"/>
      <c r="J342" s="881"/>
      <c r="K342" s="881">
        <v>22</v>
      </c>
      <c r="L342" s="882">
        <v>-82.016000000000005</v>
      </c>
      <c r="M342" s="882">
        <v>-370.76100000000002</v>
      </c>
      <c r="N342" s="882">
        <v>0</v>
      </c>
      <c r="O342" s="882">
        <v>-14.957000000000001</v>
      </c>
      <c r="P342" s="882">
        <v>-14.817</v>
      </c>
      <c r="Q342" s="882">
        <v>-69.141000000000005</v>
      </c>
    </row>
    <row r="343" spans="1:17">
      <c r="B343" s="521">
        <v>23</v>
      </c>
      <c r="C343" s="685">
        <v>114.407</v>
      </c>
      <c r="D343" s="685">
        <v>0.42599999999999999</v>
      </c>
      <c r="E343" s="685">
        <v>0</v>
      </c>
      <c r="F343" s="685">
        <v>352.32600000000002</v>
      </c>
      <c r="G343" s="685">
        <v>46.447000000000003</v>
      </c>
      <c r="H343" s="685">
        <v>0</v>
      </c>
      <c r="I343" s="521"/>
      <c r="J343" s="521"/>
      <c r="K343" s="521">
        <v>23</v>
      </c>
      <c r="L343" s="685">
        <v>-29.547999999999998</v>
      </c>
      <c r="M343" s="685">
        <v>-310.61900000000003</v>
      </c>
      <c r="N343" s="685">
        <v>-61.515999999999998</v>
      </c>
      <c r="O343" s="685">
        <v>-28.62</v>
      </c>
      <c r="P343" s="685">
        <v>-1.679</v>
      </c>
      <c r="Q343" s="685">
        <v>-67.486000000000004</v>
      </c>
    </row>
    <row r="344" spans="1:17">
      <c r="A344" s="885"/>
      <c r="B344" s="881">
        <v>24</v>
      </c>
      <c r="C344" s="882">
        <v>127.395</v>
      </c>
      <c r="D344" s="882">
        <v>1.502</v>
      </c>
      <c r="E344" s="882">
        <v>0</v>
      </c>
      <c r="F344" s="882">
        <v>287.17399999999998</v>
      </c>
      <c r="G344" s="882">
        <v>57.904000000000003</v>
      </c>
      <c r="H344" s="882">
        <v>1.1000000000000001</v>
      </c>
      <c r="I344" s="881"/>
      <c r="J344" s="881"/>
      <c r="K344" s="881">
        <v>24</v>
      </c>
      <c r="L344" s="882">
        <v>-24.765999999999998</v>
      </c>
      <c r="M344" s="882">
        <v>-300.173</v>
      </c>
      <c r="N344" s="882">
        <v>0</v>
      </c>
      <c r="O344" s="882">
        <v>-32.283000000000001</v>
      </c>
      <c r="P344" s="882">
        <v>-8.0000000000000002E-3</v>
      </c>
      <c r="Q344" s="882">
        <v>-20.542000000000002</v>
      </c>
    </row>
    <row r="345" spans="1:17">
      <c r="B345" s="521">
        <v>25</v>
      </c>
      <c r="C345" s="685">
        <v>122.66</v>
      </c>
      <c r="D345" s="685">
        <v>24.597000000000001</v>
      </c>
      <c r="E345" s="685">
        <v>0.26100000000000001</v>
      </c>
      <c r="F345" s="685">
        <v>201.11099999999999</v>
      </c>
      <c r="G345" s="685">
        <v>44.142000000000003</v>
      </c>
      <c r="H345" s="685">
        <v>0.14899999999999999</v>
      </c>
      <c r="I345" s="521"/>
      <c r="J345" s="521"/>
      <c r="K345" s="521">
        <v>25</v>
      </c>
      <c r="L345" s="685">
        <v>-34.668999999999997</v>
      </c>
      <c r="M345" s="685">
        <v>-236.167</v>
      </c>
      <c r="N345" s="685">
        <v>-47.98</v>
      </c>
      <c r="O345" s="685">
        <v>-28.997</v>
      </c>
      <c r="P345" s="685">
        <v>-5.1219999999999999</v>
      </c>
      <c r="Q345" s="685">
        <v>-68.802000000000007</v>
      </c>
    </row>
    <row r="346" spans="1:17">
      <c r="A346" s="885"/>
      <c r="B346" s="881">
        <v>26</v>
      </c>
      <c r="C346" s="882">
        <v>105.053</v>
      </c>
      <c r="D346" s="882">
        <v>13.07</v>
      </c>
      <c r="E346" s="882">
        <v>0</v>
      </c>
      <c r="F346" s="882">
        <v>264.47300000000001</v>
      </c>
      <c r="G346" s="882">
        <v>51.213999999999999</v>
      </c>
      <c r="H346" s="882">
        <v>0</v>
      </c>
      <c r="I346" s="881"/>
      <c r="J346" s="881"/>
      <c r="K346" s="881">
        <v>26</v>
      </c>
      <c r="L346" s="882">
        <v>-20.245000000000001</v>
      </c>
      <c r="M346" s="882">
        <v>-281.91399999999999</v>
      </c>
      <c r="N346" s="882">
        <v>-44.603000000000002</v>
      </c>
      <c r="O346" s="882"/>
      <c r="P346" s="882">
        <v>-3.8690000000000002</v>
      </c>
      <c r="Q346" s="882">
        <v>-9.5950000000000006</v>
      </c>
    </row>
    <row r="347" spans="1:17">
      <c r="B347" s="521">
        <v>27</v>
      </c>
      <c r="C347" s="685">
        <v>111.982</v>
      </c>
      <c r="D347" s="685">
        <v>0.14199999999999999</v>
      </c>
      <c r="E347" s="685">
        <v>0</v>
      </c>
      <c r="F347" s="685">
        <v>202.11799999999999</v>
      </c>
      <c r="G347" s="685">
        <v>20.954999999999998</v>
      </c>
      <c r="H347" s="685">
        <v>0.46200000000000002</v>
      </c>
      <c r="I347" s="521"/>
      <c r="J347" s="521"/>
      <c r="K347" s="521">
        <v>27</v>
      </c>
      <c r="L347" s="685">
        <v>-50.408000000000001</v>
      </c>
      <c r="M347" s="685">
        <v>-355.524</v>
      </c>
      <c r="N347" s="685">
        <v>0</v>
      </c>
      <c r="O347" s="685">
        <v>-41.91</v>
      </c>
      <c r="P347" s="685">
        <v>-9.6649999999999991</v>
      </c>
      <c r="Q347" s="685">
        <v>-34.420999999999999</v>
      </c>
    </row>
    <row r="348" spans="1:17">
      <c r="A348" s="885"/>
      <c r="B348" s="881">
        <v>28</v>
      </c>
      <c r="C348" s="882">
        <v>153.58000000000001</v>
      </c>
      <c r="D348" s="882">
        <v>6.84</v>
      </c>
      <c r="E348" s="882">
        <v>0.115</v>
      </c>
      <c r="F348" s="882">
        <v>176.404</v>
      </c>
      <c r="G348" s="882">
        <v>24.859000000000002</v>
      </c>
      <c r="H348" s="882">
        <v>0.80900000000000005</v>
      </c>
      <c r="I348" s="881"/>
      <c r="J348" s="881"/>
      <c r="K348" s="881">
        <v>28</v>
      </c>
      <c r="L348" s="882">
        <v>-26.992999999999999</v>
      </c>
      <c r="M348" s="882">
        <v>-323.88799999999998</v>
      </c>
      <c r="N348" s="882">
        <v>-91.207999999999998</v>
      </c>
      <c r="O348" s="882">
        <v>-41.526000000000003</v>
      </c>
      <c r="P348" s="882">
        <v>-7.8780000000000001</v>
      </c>
      <c r="Q348" s="882">
        <v>-65.132999999999996</v>
      </c>
    </row>
    <row r="349" spans="1:17">
      <c r="B349" s="521">
        <v>29</v>
      </c>
      <c r="C349" s="685">
        <v>75.680999999999997</v>
      </c>
      <c r="D349" s="685">
        <v>0.95099999999999996</v>
      </c>
      <c r="E349" s="685">
        <v>0</v>
      </c>
      <c r="F349" s="685">
        <v>199.87899999999999</v>
      </c>
      <c r="G349" s="685">
        <v>19.408000000000001</v>
      </c>
      <c r="H349" s="685">
        <v>0</v>
      </c>
      <c r="I349" s="521"/>
      <c r="J349" s="521"/>
      <c r="K349" s="521">
        <v>29</v>
      </c>
      <c r="L349" s="685">
        <v>-92.281000000000006</v>
      </c>
      <c r="M349" s="685">
        <v>-319.32799999999997</v>
      </c>
      <c r="N349" s="685">
        <v>-91.817999999999998</v>
      </c>
      <c r="O349" s="685">
        <v>-31.652000000000001</v>
      </c>
      <c r="P349" s="685">
        <v>-26.234999999999999</v>
      </c>
      <c r="Q349" s="685">
        <v>-65.932000000000002</v>
      </c>
    </row>
    <row r="350" spans="1:17">
      <c r="A350" s="885"/>
      <c r="B350" s="881">
        <v>30</v>
      </c>
      <c r="C350" s="882">
        <v>81.87</v>
      </c>
      <c r="D350" s="882">
        <v>1.6879999999999999</v>
      </c>
      <c r="E350" s="882">
        <v>0.01</v>
      </c>
      <c r="F350" s="882">
        <v>199.267</v>
      </c>
      <c r="G350" s="882">
        <v>12.7</v>
      </c>
      <c r="H350" s="882">
        <v>0.97299999999999998</v>
      </c>
      <c r="I350" s="881"/>
      <c r="J350" s="881"/>
      <c r="K350" s="881">
        <v>30</v>
      </c>
      <c r="L350" s="882">
        <v>-111.488</v>
      </c>
      <c r="M350" s="882">
        <v>-356.57799999999997</v>
      </c>
      <c r="N350" s="882">
        <v>-24.251999999999999</v>
      </c>
      <c r="O350" s="882">
        <v>-31.760999999999999</v>
      </c>
      <c r="P350" s="882">
        <v>-40.713999999999999</v>
      </c>
      <c r="Q350" s="882">
        <v>-68.599000000000004</v>
      </c>
    </row>
    <row r="351" spans="1:17">
      <c r="B351" s="521">
        <v>31</v>
      </c>
      <c r="C351" s="685">
        <v>147.62100000000001</v>
      </c>
      <c r="D351" s="685">
        <v>12.4</v>
      </c>
      <c r="E351" s="685">
        <v>0.17599999999999999</v>
      </c>
      <c r="F351" s="685">
        <v>160.285</v>
      </c>
      <c r="G351" s="685">
        <v>14.525</v>
      </c>
      <c r="H351" s="685">
        <v>8.8999999999999996E-2</v>
      </c>
      <c r="I351" s="521"/>
      <c r="J351" s="521"/>
      <c r="K351" s="521">
        <v>31</v>
      </c>
      <c r="L351" s="685">
        <v>-43.98</v>
      </c>
      <c r="M351" s="685">
        <v>-325.32299999999998</v>
      </c>
      <c r="N351" s="685">
        <v>0</v>
      </c>
      <c r="O351" s="685">
        <v>-55.17</v>
      </c>
      <c r="P351" s="685">
        <v>-20.946999999999999</v>
      </c>
      <c r="Q351" s="685">
        <v>-67.061999999999998</v>
      </c>
    </row>
    <row r="352" spans="1:17">
      <c r="A352" s="885"/>
      <c r="B352" s="881">
        <v>32</v>
      </c>
      <c r="C352" s="882">
        <v>178.77699999999999</v>
      </c>
      <c r="D352" s="882">
        <v>4.0179999999999998</v>
      </c>
      <c r="E352" s="882">
        <v>1.6E-2</v>
      </c>
      <c r="F352" s="882">
        <v>132.06200000000001</v>
      </c>
      <c r="G352" s="882">
        <v>20.585999999999999</v>
      </c>
      <c r="H352" s="882">
        <v>5.6000000000000001E-2</v>
      </c>
      <c r="I352" s="881"/>
      <c r="J352" s="881"/>
      <c r="K352" s="881">
        <v>32</v>
      </c>
      <c r="L352" s="882">
        <v>-17.434999999999999</v>
      </c>
      <c r="M352" s="882">
        <v>-312.45499999999998</v>
      </c>
      <c r="N352" s="882">
        <v>-95.384</v>
      </c>
      <c r="O352" s="882">
        <v>-59.39</v>
      </c>
      <c r="P352" s="882">
        <v>-11.391999999999999</v>
      </c>
      <c r="Q352" s="882">
        <v>-64.3</v>
      </c>
    </row>
    <row r="353" spans="1:17">
      <c r="B353" s="521">
        <v>33</v>
      </c>
      <c r="C353" s="685">
        <v>102.086</v>
      </c>
      <c r="D353" s="685">
        <v>4.5199999999999996</v>
      </c>
      <c r="E353" s="685">
        <v>0.08</v>
      </c>
      <c r="F353" s="685">
        <v>155.00200000000001</v>
      </c>
      <c r="G353" s="685">
        <v>46.710999999999999</v>
      </c>
      <c r="H353" s="685">
        <v>0.26600000000000001</v>
      </c>
      <c r="I353" s="521"/>
      <c r="J353" s="521"/>
      <c r="K353" s="521">
        <v>33</v>
      </c>
      <c r="L353" s="685">
        <v>-32.805999999999997</v>
      </c>
      <c r="M353" s="685">
        <v>-246.417</v>
      </c>
      <c r="N353" s="685">
        <v>-86.927999999999997</v>
      </c>
      <c r="O353" s="685">
        <v>-39.823</v>
      </c>
      <c r="P353" s="685">
        <v>-7.3999999999999996E-2</v>
      </c>
      <c r="Q353" s="685">
        <v>-50.79</v>
      </c>
    </row>
    <row r="354" spans="1:17">
      <c r="A354" s="885"/>
      <c r="B354" s="881">
        <v>34</v>
      </c>
      <c r="C354" s="882">
        <v>96.727000000000004</v>
      </c>
      <c r="D354" s="882">
        <v>13.068</v>
      </c>
      <c r="E354" s="882">
        <v>0.23200000000000001</v>
      </c>
      <c r="F354" s="882">
        <v>150.27199999999999</v>
      </c>
      <c r="G354" s="882">
        <v>47.031999999999996</v>
      </c>
      <c r="H354" s="882">
        <v>1.1279999999999999</v>
      </c>
      <c r="I354" s="881"/>
      <c r="J354" s="881"/>
      <c r="K354" s="881">
        <v>34</v>
      </c>
      <c r="L354" s="882">
        <v>-59.238999999999997</v>
      </c>
      <c r="M354" s="882">
        <v>-218.69399999999999</v>
      </c>
      <c r="N354" s="882">
        <v>-92.628</v>
      </c>
      <c r="O354" s="882">
        <v>-35.31</v>
      </c>
      <c r="P354" s="882">
        <v>-6.5759999999999996</v>
      </c>
      <c r="Q354" s="882">
        <v>-56.762999999999998</v>
      </c>
    </row>
    <row r="355" spans="1:17">
      <c r="B355" s="521">
        <v>35</v>
      </c>
      <c r="C355" s="685">
        <v>67.182000000000002</v>
      </c>
      <c r="D355" s="685">
        <v>9.2530000000000001</v>
      </c>
      <c r="E355" s="685">
        <v>0.09</v>
      </c>
      <c r="F355" s="685">
        <v>201.042</v>
      </c>
      <c r="G355" s="685">
        <v>21.390999999999998</v>
      </c>
      <c r="H355" s="685">
        <v>7.0000000000000007E-2</v>
      </c>
      <c r="I355" s="521"/>
      <c r="J355" s="521"/>
      <c r="K355" s="521">
        <v>35</v>
      </c>
      <c r="L355" s="685">
        <v>-119.271</v>
      </c>
      <c r="M355" s="685">
        <v>-270.92599999999999</v>
      </c>
      <c r="N355" s="685">
        <v>-90.256</v>
      </c>
      <c r="O355" s="685">
        <v>-17.091999999999999</v>
      </c>
      <c r="P355" s="685">
        <v>-26.861999999999998</v>
      </c>
      <c r="Q355" s="685">
        <v>-63.734999999999999</v>
      </c>
    </row>
    <row r="356" spans="1:17">
      <c r="A356" s="885"/>
      <c r="B356" s="881">
        <v>36</v>
      </c>
      <c r="C356" s="882">
        <v>48.863</v>
      </c>
      <c r="D356" s="882">
        <v>4.032</v>
      </c>
      <c r="E356" s="882">
        <v>1.2E-2</v>
      </c>
      <c r="F356" s="882">
        <v>243.309</v>
      </c>
      <c r="G356" s="882">
        <v>9.8520000000000003</v>
      </c>
      <c r="H356" s="882">
        <v>6.8000000000000005E-2</v>
      </c>
      <c r="I356" s="881"/>
      <c r="J356" s="881"/>
      <c r="K356" s="881">
        <v>36</v>
      </c>
      <c r="L356" s="882">
        <v>-133.977</v>
      </c>
      <c r="M356" s="882">
        <v>-263.18599999999998</v>
      </c>
      <c r="N356" s="882">
        <v>-103.801</v>
      </c>
      <c r="O356" s="882">
        <v>-18.701000000000001</v>
      </c>
      <c r="P356" s="882">
        <v>-27.96</v>
      </c>
      <c r="Q356" s="882">
        <v>-63.012</v>
      </c>
    </row>
    <row r="357" spans="1:17">
      <c r="B357" s="521">
        <v>37</v>
      </c>
      <c r="C357" s="685">
        <v>57.332999999999998</v>
      </c>
      <c r="D357" s="685">
        <v>3.5329999999999999</v>
      </c>
      <c r="E357" s="685">
        <v>0</v>
      </c>
      <c r="F357" s="685">
        <v>247.566</v>
      </c>
      <c r="G357" s="685">
        <v>0.498</v>
      </c>
      <c r="H357" s="685">
        <v>2.0289999999999999</v>
      </c>
      <c r="I357" s="521"/>
      <c r="J357" s="521"/>
      <c r="K357" s="521">
        <v>37</v>
      </c>
      <c r="L357" s="685">
        <v>-71.263999999999996</v>
      </c>
      <c r="M357" s="685">
        <v>-268.47000000000003</v>
      </c>
      <c r="N357" s="685">
        <v>-109.51900000000001</v>
      </c>
      <c r="O357" s="685">
        <v>-24.771000000000001</v>
      </c>
      <c r="P357" s="685">
        <v>-0.57199999999999995</v>
      </c>
      <c r="Q357" s="685">
        <v>-65.811999999999998</v>
      </c>
    </row>
    <row r="358" spans="1:17">
      <c r="A358" s="885"/>
      <c r="B358" s="881">
        <v>38</v>
      </c>
      <c r="C358" s="882">
        <v>34.005000000000003</v>
      </c>
      <c r="D358" s="882">
        <v>0.67500000000000004</v>
      </c>
      <c r="E358" s="882">
        <v>0</v>
      </c>
      <c r="F358" s="882">
        <v>226.87299999999999</v>
      </c>
      <c r="G358" s="882">
        <v>22.954999999999998</v>
      </c>
      <c r="H358" s="882">
        <v>0</v>
      </c>
      <c r="I358" s="881"/>
      <c r="J358" s="881"/>
      <c r="K358" s="881">
        <v>38</v>
      </c>
      <c r="L358" s="882">
        <v>-38.469000000000001</v>
      </c>
      <c r="M358" s="882">
        <v>-338.62099999999998</v>
      </c>
      <c r="N358" s="882">
        <v>-2.319</v>
      </c>
      <c r="O358" s="882">
        <v>-13.541</v>
      </c>
      <c r="P358" s="882">
        <v>-0.29299999999999998</v>
      </c>
      <c r="Q358" s="882">
        <v>-108.44</v>
      </c>
    </row>
    <row r="359" spans="1:17">
      <c r="B359" s="521">
        <v>39</v>
      </c>
      <c r="C359" s="685">
        <v>40.847999999999999</v>
      </c>
      <c r="D359" s="685">
        <v>3.4449999999999998</v>
      </c>
      <c r="E359" s="685">
        <v>0</v>
      </c>
      <c r="F359" s="685">
        <v>142.03399999999999</v>
      </c>
      <c r="G359" s="685">
        <v>6.7960000000000003</v>
      </c>
      <c r="H359" s="685">
        <v>0</v>
      </c>
      <c r="I359" s="521"/>
      <c r="J359" s="521"/>
      <c r="K359" s="521">
        <v>39</v>
      </c>
      <c r="L359" s="685">
        <v>-38.375999999999998</v>
      </c>
      <c r="M359" s="685">
        <v>-271.94499999999999</v>
      </c>
      <c r="N359" s="685">
        <v>-109.39400000000001</v>
      </c>
      <c r="O359" s="685">
        <v>-50.988</v>
      </c>
      <c r="P359" s="685">
        <v>-11.182</v>
      </c>
      <c r="Q359" s="685">
        <v>-38.350999999999999</v>
      </c>
    </row>
    <row r="360" spans="1:17">
      <c r="A360" s="885"/>
      <c r="B360" s="881">
        <v>40</v>
      </c>
      <c r="C360" s="882">
        <v>84.856999999999999</v>
      </c>
      <c r="D360" s="882">
        <v>4.8319999999999999</v>
      </c>
      <c r="E360" s="882">
        <v>2.7E-2</v>
      </c>
      <c r="F360" s="882">
        <v>82.016000000000005</v>
      </c>
      <c r="G360" s="882">
        <v>11.507</v>
      </c>
      <c r="H360" s="882">
        <v>6.5819999999999999</v>
      </c>
      <c r="I360" s="881"/>
      <c r="J360" s="881"/>
      <c r="K360" s="881">
        <v>40</v>
      </c>
      <c r="L360" s="882">
        <v>-29.157</v>
      </c>
      <c r="M360" s="882">
        <v>-234.03</v>
      </c>
      <c r="N360" s="882">
        <v>-87.787999999999997</v>
      </c>
      <c r="O360" s="882">
        <v>-72.004000000000005</v>
      </c>
      <c r="P360" s="882">
        <v>-22.507999999999999</v>
      </c>
      <c r="Q360" s="882">
        <v>-45.628</v>
      </c>
    </row>
    <row r="361" spans="1:17">
      <c r="B361" s="521">
        <v>41</v>
      </c>
      <c r="C361" s="685">
        <v>206.172</v>
      </c>
      <c r="D361" s="685">
        <v>12.182</v>
      </c>
      <c r="E361" s="685">
        <v>3.3540000000000001</v>
      </c>
      <c r="F361" s="685">
        <v>127.845</v>
      </c>
      <c r="G361" s="685">
        <v>16.457999999999998</v>
      </c>
      <c r="H361" s="685">
        <v>5.3129999999999997</v>
      </c>
      <c r="I361" s="521"/>
      <c r="J361" s="521"/>
      <c r="K361" s="521">
        <v>41</v>
      </c>
      <c r="L361" s="685">
        <v>-14.807</v>
      </c>
      <c r="M361" s="685">
        <v>-208.357</v>
      </c>
      <c r="N361" s="685">
        <v>-53.610999999999997</v>
      </c>
      <c r="O361" s="685">
        <v>-64.513000000000005</v>
      </c>
      <c r="P361" s="685">
        <v>-10.032</v>
      </c>
      <c r="Q361" s="685">
        <v>-33.435000000000002</v>
      </c>
    </row>
    <row r="362" spans="1:17">
      <c r="A362" s="885"/>
      <c r="B362" s="881">
        <v>42</v>
      </c>
      <c r="C362" s="882">
        <v>140.13900000000001</v>
      </c>
      <c r="D362" s="882">
        <v>13.77</v>
      </c>
      <c r="E362" s="882">
        <v>5.4829999999999997</v>
      </c>
      <c r="F362" s="882">
        <v>153.66800000000001</v>
      </c>
      <c r="G362" s="882">
        <v>16.524000000000001</v>
      </c>
      <c r="H362" s="882">
        <v>11.15</v>
      </c>
      <c r="I362" s="881"/>
      <c r="J362" s="881"/>
      <c r="K362" s="881">
        <v>42</v>
      </c>
      <c r="L362" s="882">
        <v>-44.594000000000001</v>
      </c>
      <c r="M362" s="882">
        <v>-220.78800000000001</v>
      </c>
      <c r="N362" s="882">
        <v>-33.003999999999998</v>
      </c>
      <c r="O362" s="882">
        <v>-58.667000000000002</v>
      </c>
      <c r="P362" s="882">
        <v>-22.126999999999999</v>
      </c>
      <c r="Q362" s="882">
        <v>-39.01</v>
      </c>
    </row>
    <row r="363" spans="1:17">
      <c r="B363" s="521">
        <v>43</v>
      </c>
      <c r="C363" s="685">
        <v>107.21299999999999</v>
      </c>
      <c r="D363" s="685">
        <v>18.963000000000001</v>
      </c>
      <c r="E363" s="685">
        <v>15.589</v>
      </c>
      <c r="F363" s="685">
        <v>189.72</v>
      </c>
      <c r="G363" s="685">
        <v>5.4909999999999997</v>
      </c>
      <c r="H363" s="685">
        <v>10.335000000000001</v>
      </c>
      <c r="I363" s="521"/>
      <c r="J363" s="521"/>
      <c r="K363" s="521">
        <v>43</v>
      </c>
      <c r="L363" s="685">
        <v>-43.597999999999999</v>
      </c>
      <c r="M363" s="685">
        <v>-184.36799999999999</v>
      </c>
      <c r="N363" s="685">
        <v>-20.731999999999999</v>
      </c>
      <c r="O363" s="685">
        <v>-86.567999999999998</v>
      </c>
      <c r="P363" s="685">
        <v>-42.103999999999999</v>
      </c>
      <c r="Q363" s="685">
        <v>-26.446000000000002</v>
      </c>
    </row>
    <row r="364" spans="1:17">
      <c r="A364" s="885"/>
      <c r="B364" s="881">
        <v>44</v>
      </c>
      <c r="C364" s="882">
        <v>150.30600000000001</v>
      </c>
      <c r="D364" s="882">
        <v>10.705</v>
      </c>
      <c r="E364" s="882">
        <v>30.585000000000001</v>
      </c>
      <c r="F364" s="882">
        <v>174.22200000000001</v>
      </c>
      <c r="G364" s="882">
        <v>22.234999999999999</v>
      </c>
      <c r="H364" s="882">
        <v>15.481999999999999</v>
      </c>
      <c r="I364" s="881"/>
      <c r="J364" s="881"/>
      <c r="K364" s="881">
        <v>44</v>
      </c>
      <c r="L364" s="882">
        <v>-8.94</v>
      </c>
      <c r="M364" s="882">
        <v>-185.60400000000001</v>
      </c>
      <c r="N364" s="882">
        <v>-13.856999999999999</v>
      </c>
      <c r="O364" s="882">
        <v>-56.561</v>
      </c>
      <c r="P364" s="882">
        <v>-14.375</v>
      </c>
      <c r="Q364" s="882">
        <v>-13.456</v>
      </c>
    </row>
    <row r="365" spans="1:17">
      <c r="B365" s="521">
        <v>45</v>
      </c>
      <c r="C365" s="685">
        <v>159.405</v>
      </c>
      <c r="D365" s="685">
        <v>33.792000000000002</v>
      </c>
      <c r="E365" s="685">
        <v>2.5790000000000002</v>
      </c>
      <c r="F365" s="685">
        <v>151.82599999999999</v>
      </c>
      <c r="G365" s="685">
        <v>49.969000000000001</v>
      </c>
      <c r="H365" s="685">
        <v>18.881</v>
      </c>
      <c r="I365" s="521"/>
      <c r="J365" s="521"/>
      <c r="K365" s="521">
        <v>45</v>
      </c>
      <c r="L365" s="685">
        <v>-17.155999999999999</v>
      </c>
      <c r="M365" s="685">
        <v>-126.877</v>
      </c>
      <c r="N365" s="685">
        <v>0</v>
      </c>
      <c r="O365" s="685">
        <v>-71.745999999999995</v>
      </c>
      <c r="P365" s="685">
        <v>-5.9530000000000003</v>
      </c>
      <c r="Q365" s="685">
        <v>-9.4640000000000004</v>
      </c>
    </row>
    <row r="366" spans="1:17">
      <c r="A366" s="885"/>
      <c r="B366" s="881">
        <v>46</v>
      </c>
      <c r="C366" s="882">
        <v>158.571</v>
      </c>
      <c r="D366" s="882">
        <v>27.594000000000001</v>
      </c>
      <c r="E366" s="882">
        <v>2.3039999999999998</v>
      </c>
      <c r="F366" s="882">
        <v>147.125</v>
      </c>
      <c r="G366" s="882">
        <v>17.007000000000001</v>
      </c>
      <c r="H366" s="882">
        <v>19.088999999999999</v>
      </c>
      <c r="I366" s="881"/>
      <c r="J366" s="881"/>
      <c r="K366" s="881">
        <v>46</v>
      </c>
      <c r="L366" s="882">
        <v>-9.2539999999999996</v>
      </c>
      <c r="M366" s="882">
        <v>-202.12</v>
      </c>
      <c r="N366" s="882">
        <v>-5.0990000000000002</v>
      </c>
      <c r="O366" s="882">
        <v>-104.607</v>
      </c>
      <c r="P366" s="882">
        <v>-10.01</v>
      </c>
      <c r="Q366" s="882">
        <v>-9.5730000000000004</v>
      </c>
    </row>
    <row r="367" spans="1:17">
      <c r="B367" s="521">
        <v>47</v>
      </c>
      <c r="C367" s="685">
        <v>102.29300000000001</v>
      </c>
      <c r="D367" s="685">
        <v>13.86</v>
      </c>
      <c r="E367" s="685">
        <v>19.963000000000001</v>
      </c>
      <c r="F367" s="685">
        <v>142.23099999999999</v>
      </c>
      <c r="G367" s="685">
        <v>8.2409999999999997</v>
      </c>
      <c r="H367" s="685">
        <v>18.472000000000001</v>
      </c>
      <c r="I367" s="521"/>
      <c r="J367" s="521"/>
      <c r="K367" s="521">
        <v>47</v>
      </c>
      <c r="L367" s="685">
        <v>-69.153999999999996</v>
      </c>
      <c r="M367" s="685">
        <v>-184.15299999999999</v>
      </c>
      <c r="N367" s="685">
        <v>-16.539000000000001</v>
      </c>
      <c r="O367" s="685">
        <v>-121.96899999999999</v>
      </c>
      <c r="P367" s="685">
        <v>-34.880000000000003</v>
      </c>
      <c r="Q367" s="685">
        <v>-24.071000000000002</v>
      </c>
    </row>
    <row r="368" spans="1:17">
      <c r="A368" s="885"/>
      <c r="B368" s="881">
        <v>48</v>
      </c>
      <c r="C368" s="882">
        <v>144</v>
      </c>
      <c r="D368" s="882">
        <v>21</v>
      </c>
      <c r="E368" s="882">
        <v>17</v>
      </c>
      <c r="F368" s="882">
        <v>133</v>
      </c>
      <c r="G368" s="882">
        <v>4</v>
      </c>
      <c r="H368" s="882">
        <v>18</v>
      </c>
      <c r="I368" s="881"/>
      <c r="J368" s="881"/>
      <c r="K368" s="881">
        <v>48</v>
      </c>
      <c r="L368" s="882">
        <v>-49</v>
      </c>
      <c r="M368" s="882">
        <v>-178</v>
      </c>
      <c r="N368" s="882">
        <v>-12</v>
      </c>
      <c r="O368" s="882">
        <v>-87</v>
      </c>
      <c r="P368" s="882">
        <v>-33</v>
      </c>
      <c r="Q368" s="882">
        <v>-11</v>
      </c>
    </row>
    <row r="369" spans="1:17">
      <c r="B369" s="521">
        <v>49</v>
      </c>
      <c r="C369" s="685">
        <v>104</v>
      </c>
      <c r="D369" s="685">
        <v>15</v>
      </c>
      <c r="E369" s="685">
        <v>1</v>
      </c>
      <c r="F369" s="685">
        <v>243</v>
      </c>
      <c r="G369" s="685">
        <v>3</v>
      </c>
      <c r="H369" s="685">
        <v>15</v>
      </c>
      <c r="I369" s="521"/>
      <c r="J369" s="521"/>
      <c r="K369" s="521">
        <v>49</v>
      </c>
      <c r="L369" s="685">
        <v>-77</v>
      </c>
      <c r="M369" s="685">
        <v>-214</v>
      </c>
      <c r="N369" s="685">
        <v>0</v>
      </c>
      <c r="O369" s="685">
        <v>-19</v>
      </c>
      <c r="P369" s="685">
        <v>-46</v>
      </c>
      <c r="Q369" s="685">
        <v>-33</v>
      </c>
    </row>
    <row r="370" spans="1:17">
      <c r="A370" s="885"/>
      <c r="B370" s="881">
        <v>50</v>
      </c>
      <c r="C370" s="882">
        <v>85</v>
      </c>
      <c r="D370" s="882">
        <v>0</v>
      </c>
      <c r="E370" s="882">
        <v>14</v>
      </c>
      <c r="F370" s="882">
        <v>309</v>
      </c>
      <c r="G370" s="882">
        <v>1</v>
      </c>
      <c r="H370" s="882">
        <v>14</v>
      </c>
      <c r="I370" s="881"/>
      <c r="J370" s="881"/>
      <c r="K370" s="881">
        <v>50</v>
      </c>
      <c r="L370" s="882">
        <v>-94</v>
      </c>
      <c r="M370" s="882">
        <v>-306</v>
      </c>
      <c r="N370" s="882">
        <v>-28</v>
      </c>
      <c r="O370" s="882">
        <v>-12</v>
      </c>
      <c r="P370" s="882">
        <v>-91</v>
      </c>
      <c r="Q370" s="882">
        <v>-46</v>
      </c>
    </row>
    <row r="371" spans="1:17">
      <c r="B371" s="521">
        <v>51</v>
      </c>
      <c r="C371" s="685">
        <v>82</v>
      </c>
      <c r="D371" s="685">
        <v>10</v>
      </c>
      <c r="E371" s="685">
        <v>1</v>
      </c>
      <c r="F371" s="685">
        <v>184</v>
      </c>
      <c r="G371" s="685">
        <v>3</v>
      </c>
      <c r="H371" s="685">
        <v>4</v>
      </c>
      <c r="I371" s="521"/>
      <c r="J371" s="521"/>
      <c r="K371" s="521">
        <v>51</v>
      </c>
      <c r="L371" s="685">
        <v>-68</v>
      </c>
      <c r="M371" s="685">
        <v>-275</v>
      </c>
      <c r="N371" s="685">
        <v>-66</v>
      </c>
      <c r="O371" s="685">
        <v>-137</v>
      </c>
      <c r="P371" s="685">
        <v>-52</v>
      </c>
      <c r="Q371" s="685">
        <v>-53</v>
      </c>
    </row>
    <row r="372" spans="1:17">
      <c r="A372" s="885"/>
      <c r="B372" s="881">
        <v>52</v>
      </c>
      <c r="C372" s="882">
        <v>72</v>
      </c>
      <c r="D372" s="882">
        <v>6</v>
      </c>
      <c r="E372" s="882">
        <v>5</v>
      </c>
      <c r="F372" s="882">
        <v>133</v>
      </c>
      <c r="G372" s="882">
        <v>3</v>
      </c>
      <c r="H372" s="882">
        <v>11</v>
      </c>
      <c r="I372" s="881"/>
      <c r="J372" s="881"/>
      <c r="K372" s="881">
        <v>52</v>
      </c>
      <c r="L372" s="882">
        <v>-68</v>
      </c>
      <c r="M372" s="882">
        <v>-270</v>
      </c>
      <c r="N372" s="882">
        <v>-55</v>
      </c>
      <c r="O372" s="882">
        <v>-160</v>
      </c>
      <c r="P372" s="882">
        <v>-38</v>
      </c>
      <c r="Q372" s="882">
        <v>-41</v>
      </c>
    </row>
    <row r="373" spans="1:17">
      <c r="B373" s="521"/>
      <c r="C373" s="685"/>
      <c r="D373" s="685"/>
      <c r="E373" s="685"/>
      <c r="F373" s="685"/>
      <c r="G373" s="685"/>
      <c r="H373" s="685"/>
      <c r="I373" s="521"/>
      <c r="J373" s="521"/>
      <c r="K373" s="521"/>
      <c r="L373" s="685"/>
      <c r="M373" s="685"/>
      <c r="N373" s="685"/>
      <c r="O373" s="685"/>
      <c r="P373" s="685"/>
      <c r="Q373" s="685"/>
    </row>
    <row r="374" spans="1:17">
      <c r="A374" s="92" t="s">
        <v>228</v>
      </c>
    </row>
  </sheetData>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theme="0"/>
  </sheetPr>
  <dimension ref="A1:H268"/>
  <sheetViews>
    <sheetView showGridLines="0" zoomScaleNormal="100" workbookViewId="0">
      <pane ySplit="6" topLeftCell="A257" activePane="bottomLeft" state="frozen"/>
      <selection pane="bottomLeft" activeCell="B1" sqref="B1"/>
    </sheetView>
  </sheetViews>
  <sheetFormatPr defaultRowHeight="14.25"/>
  <cols>
    <col min="1" max="1" width="7.73046875" customWidth="1"/>
    <col min="2" max="5" width="16.73046875" customWidth="1"/>
  </cols>
  <sheetData>
    <row r="1" spans="1:7">
      <c r="A1" s="524" t="str">
        <f>IF(språk=lista[[#Headers],[Svenska]],"Innehåll",IF(språk=lista[[#Headers],[English]],"Contents","FEL"))</f>
        <v>Contents</v>
      </c>
    </row>
    <row r="3" spans="1:7" ht="35.25" customHeight="1">
      <c r="A3" s="1061" t="str">
        <f>IFERROR(INDEX(lista[],MATCH($A5,lista[ID],0),MATCH(språk,lista[#Headers],0)),"")</f>
        <v>Electricity spot prices, yearly and monthly averages, from January 1996, nominal price, öre/kWh</v>
      </c>
      <c r="B3" s="1061"/>
      <c r="C3" s="1061"/>
      <c r="D3" s="1061"/>
      <c r="E3" s="1061"/>
    </row>
    <row r="4" spans="1:7" ht="15.75">
      <c r="A4" s="317"/>
    </row>
    <row r="5" spans="1:7" hidden="1">
      <c r="A5">
        <v>42</v>
      </c>
      <c r="B5" t="s">
        <v>647</v>
      </c>
      <c r="C5" t="s">
        <v>648</v>
      </c>
      <c r="D5" t="s">
        <v>649</v>
      </c>
      <c r="E5" t="s">
        <v>650</v>
      </c>
    </row>
    <row r="6" spans="1:7" ht="26.65">
      <c r="A6" s="422"/>
      <c r="B6" s="413" t="str">
        <f>IFERROR(INDEX(_6.8[],MATCH(språk,_6.8[[id]:[id]],0),MATCH(B$5,_6.8[#Headers],0)),"")</f>
        <v>Monthly average System</v>
      </c>
      <c r="C6" s="413" t="str">
        <f>IFERROR(INDEX(_6.8[],MATCH(språk,_6.8[[id]:[id]],0),MATCH(C$5,_6.8[#Headers],0)),"")</f>
        <v>Annual average System</v>
      </c>
      <c r="D6" s="413" t="str">
        <f>IFERROR(INDEX(_6.8[],MATCH(språk,_6.8[[id]:[id]],0),MATCH(D$5,_6.8[#Headers],0)),"")</f>
        <v>Monthly average Sweden/SE3</v>
      </c>
      <c r="E6" s="413" t="str">
        <f>IFERROR(INDEX(_6.8[],MATCH(språk,_6.8[[id]:[id]],0),MATCH(E$5,_6.8[#Headers],0)),"")</f>
        <v>Annual average Sweden/SE3</v>
      </c>
      <c r="G6" s="534"/>
    </row>
    <row r="7" spans="1:7">
      <c r="A7" s="875">
        <v>35065</v>
      </c>
      <c r="B7" s="876">
        <v>19.788999999999998</v>
      </c>
      <c r="C7" s="876">
        <v>26.302</v>
      </c>
      <c r="D7" s="876">
        <v>20.943999999999999</v>
      </c>
      <c r="E7" s="876">
        <v>26.001000000000001</v>
      </c>
    </row>
    <row r="8" spans="1:7">
      <c r="A8" s="438">
        <v>35096</v>
      </c>
      <c r="B8" s="423">
        <v>26.999000000000002</v>
      </c>
      <c r="C8" s="423">
        <v>26.302</v>
      </c>
      <c r="D8" s="423">
        <v>27.56</v>
      </c>
      <c r="E8" s="423">
        <v>26.000999999999998</v>
      </c>
    </row>
    <row r="9" spans="1:7">
      <c r="A9" s="875">
        <v>35125</v>
      </c>
      <c r="B9" s="876">
        <v>24.164999999999999</v>
      </c>
      <c r="C9" s="876">
        <v>26.302</v>
      </c>
      <c r="D9" s="876">
        <v>24.166</v>
      </c>
      <c r="E9" s="876">
        <v>26.000999999999998</v>
      </c>
    </row>
    <row r="10" spans="1:7">
      <c r="A10" s="438">
        <v>35156</v>
      </c>
      <c r="B10" s="423">
        <v>25.262</v>
      </c>
      <c r="C10" s="423">
        <v>26.302</v>
      </c>
      <c r="D10" s="423">
        <v>25.166</v>
      </c>
      <c r="E10" s="423">
        <v>26.000999999999998</v>
      </c>
    </row>
    <row r="11" spans="1:7">
      <c r="A11" s="875">
        <v>35186</v>
      </c>
      <c r="B11" s="876">
        <v>26.951000000000001</v>
      </c>
      <c r="C11" s="876">
        <v>26.302</v>
      </c>
      <c r="D11" s="876">
        <v>26.972000000000001</v>
      </c>
      <c r="E11" s="876">
        <v>26.000999999999998</v>
      </c>
    </row>
    <row r="12" spans="1:7">
      <c r="A12" s="438">
        <v>35217</v>
      </c>
      <c r="B12" s="423">
        <v>25.963000000000001</v>
      </c>
      <c r="C12" s="423">
        <v>26.302</v>
      </c>
      <c r="D12" s="423">
        <v>25.292999999999999</v>
      </c>
      <c r="E12" s="423">
        <v>26.000999999999998</v>
      </c>
    </row>
    <row r="13" spans="1:7">
      <c r="A13" s="875">
        <v>35247</v>
      </c>
      <c r="B13" s="876">
        <v>24.923999999999999</v>
      </c>
      <c r="C13" s="876">
        <v>26.302</v>
      </c>
      <c r="D13" s="876">
        <v>23.666</v>
      </c>
      <c r="E13" s="876">
        <v>26.000999999999998</v>
      </c>
    </row>
    <row r="14" spans="1:7">
      <c r="A14" s="438">
        <v>35278</v>
      </c>
      <c r="B14" s="423">
        <v>30.895999999999997</v>
      </c>
      <c r="C14" s="423">
        <v>26.302</v>
      </c>
      <c r="D14" s="423">
        <v>30.687999999999999</v>
      </c>
      <c r="E14" s="423">
        <v>26.000999999999998</v>
      </c>
      <c r="G14" s="322"/>
    </row>
    <row r="15" spans="1:7">
      <c r="A15" s="875">
        <v>35309</v>
      </c>
      <c r="B15" s="876">
        <v>33.702999999999996</v>
      </c>
      <c r="C15" s="876">
        <v>26.302</v>
      </c>
      <c r="D15" s="876">
        <v>31.654000000000003</v>
      </c>
      <c r="E15" s="876">
        <v>26.000999999999998</v>
      </c>
    </row>
    <row r="16" spans="1:7">
      <c r="A16" s="438">
        <v>35339</v>
      </c>
      <c r="B16" s="423">
        <v>29.222000000000001</v>
      </c>
      <c r="C16" s="423">
        <v>26.302</v>
      </c>
      <c r="D16" s="423">
        <v>28.518999999999998</v>
      </c>
      <c r="E16" s="423">
        <v>26.000999999999998</v>
      </c>
    </row>
    <row r="17" spans="1:7">
      <c r="A17" s="875">
        <v>35370</v>
      </c>
      <c r="B17" s="876">
        <v>23.463000000000001</v>
      </c>
      <c r="C17" s="876">
        <v>26.302</v>
      </c>
      <c r="D17" s="876">
        <v>23.387999999999998</v>
      </c>
      <c r="E17" s="876">
        <v>26.000999999999998</v>
      </c>
    </row>
    <row r="18" spans="1:7">
      <c r="A18" s="438">
        <v>35400</v>
      </c>
      <c r="B18" s="423">
        <v>24.431000000000001</v>
      </c>
      <c r="C18" s="423">
        <v>26.302</v>
      </c>
      <c r="D18" s="423">
        <v>24.137</v>
      </c>
      <c r="E18" s="423">
        <v>26.000999999999998</v>
      </c>
    </row>
    <row r="19" spans="1:7">
      <c r="A19" s="875">
        <v>35431</v>
      </c>
      <c r="B19" s="876">
        <v>23.439</v>
      </c>
      <c r="C19" s="876">
        <v>14.595000000000001</v>
      </c>
      <c r="D19" s="876">
        <v>22.05</v>
      </c>
      <c r="E19" s="876">
        <v>14.377000000000001</v>
      </c>
    </row>
    <row r="20" spans="1:7">
      <c r="A20" s="438">
        <v>35462</v>
      </c>
      <c r="B20" s="423">
        <v>17.577000000000002</v>
      </c>
      <c r="C20" s="423">
        <v>14.595000000000001</v>
      </c>
      <c r="D20" s="423">
        <v>16.849</v>
      </c>
      <c r="E20" s="423">
        <v>14.377000000000001</v>
      </c>
    </row>
    <row r="21" spans="1:7">
      <c r="A21" s="875">
        <v>35490</v>
      </c>
      <c r="B21" s="876">
        <v>13.999000000000001</v>
      </c>
      <c r="C21" s="876">
        <v>14.595000000000001</v>
      </c>
      <c r="D21" s="876">
        <v>13.686000000000002</v>
      </c>
      <c r="E21" s="876">
        <v>14.377000000000001</v>
      </c>
    </row>
    <row r="22" spans="1:7">
      <c r="A22" s="438">
        <v>35521</v>
      </c>
      <c r="B22" s="423">
        <v>13.537000000000001</v>
      </c>
      <c r="C22" s="423">
        <v>14.595000000000001</v>
      </c>
      <c r="D22" s="423">
        <v>13.499000000000001</v>
      </c>
      <c r="E22" s="423">
        <v>14.377000000000001</v>
      </c>
    </row>
    <row r="23" spans="1:7">
      <c r="A23" s="875">
        <v>35551</v>
      </c>
      <c r="B23" s="876">
        <v>12.101000000000001</v>
      </c>
      <c r="C23" s="876">
        <v>14.595000000000001</v>
      </c>
      <c r="D23" s="876">
        <v>11.833</v>
      </c>
      <c r="E23" s="876">
        <v>14.377000000000001</v>
      </c>
    </row>
    <row r="24" spans="1:7">
      <c r="A24" s="438">
        <v>35582</v>
      </c>
      <c r="B24" s="423">
        <v>11.718</v>
      </c>
      <c r="C24" s="423">
        <v>14.595000000000001</v>
      </c>
      <c r="D24" s="423">
        <v>11.361000000000001</v>
      </c>
      <c r="E24" s="423">
        <v>14.377000000000001</v>
      </c>
    </row>
    <row r="25" spans="1:7">
      <c r="A25" s="875">
        <v>35612</v>
      </c>
      <c r="B25" s="876">
        <v>9.2230000000000008</v>
      </c>
      <c r="C25" s="876">
        <v>14.595000000000001</v>
      </c>
      <c r="D25" s="876">
        <v>8.8460000000000001</v>
      </c>
      <c r="E25" s="876">
        <v>14.377000000000001</v>
      </c>
    </row>
    <row r="26" spans="1:7">
      <c r="A26" s="438">
        <v>35643</v>
      </c>
      <c r="B26" s="423">
        <v>13.749000000000001</v>
      </c>
      <c r="C26" s="423">
        <v>14.595000000000001</v>
      </c>
      <c r="D26" s="423">
        <v>13.938999999999998</v>
      </c>
      <c r="E26" s="423">
        <v>14.377000000000001</v>
      </c>
      <c r="G26" s="322"/>
    </row>
    <row r="27" spans="1:7">
      <c r="A27" s="875">
        <v>35674</v>
      </c>
      <c r="B27" s="876">
        <v>10.712999999999999</v>
      </c>
      <c r="C27" s="876">
        <v>14.595000000000001</v>
      </c>
      <c r="D27" s="876">
        <v>11.164999999999999</v>
      </c>
      <c r="E27" s="876">
        <v>14.377000000000001</v>
      </c>
    </row>
    <row r="28" spans="1:7">
      <c r="A28" s="438">
        <v>35704</v>
      </c>
      <c r="B28" s="423">
        <v>13.678999999999998</v>
      </c>
      <c r="C28" s="423">
        <v>14.595000000000001</v>
      </c>
      <c r="D28" s="423">
        <v>13.837999999999999</v>
      </c>
      <c r="E28" s="423">
        <v>14.377000000000001</v>
      </c>
    </row>
    <row r="29" spans="1:7">
      <c r="A29" s="875">
        <v>35735</v>
      </c>
      <c r="B29" s="876">
        <v>16.937000000000001</v>
      </c>
      <c r="C29" s="876">
        <v>14.595000000000001</v>
      </c>
      <c r="D29" s="876">
        <v>16.969000000000001</v>
      </c>
      <c r="E29" s="876">
        <v>14.377000000000001</v>
      </c>
    </row>
    <row r="30" spans="1:7">
      <c r="A30" s="438">
        <v>35765</v>
      </c>
      <c r="B30" s="423">
        <v>18.582000000000001</v>
      </c>
      <c r="C30" s="423">
        <v>14.595000000000001</v>
      </c>
      <c r="D30" s="423">
        <v>18.582000000000001</v>
      </c>
      <c r="E30" s="423">
        <v>14.377000000000001</v>
      </c>
    </row>
    <row r="31" spans="1:7">
      <c r="A31" s="875">
        <v>35796</v>
      </c>
      <c r="B31" s="876">
        <v>17.46</v>
      </c>
      <c r="C31" s="876">
        <v>12.268000000000001</v>
      </c>
      <c r="D31" s="876">
        <v>17.413999999999998</v>
      </c>
      <c r="E31" s="876">
        <v>12.048999999999999</v>
      </c>
    </row>
    <row r="32" spans="1:7">
      <c r="A32" s="438">
        <v>35827</v>
      </c>
      <c r="B32" s="423">
        <v>15.752000000000001</v>
      </c>
      <c r="C32" s="423">
        <v>12.268000000000001</v>
      </c>
      <c r="D32" s="423">
        <v>15.715</v>
      </c>
      <c r="E32" s="423">
        <v>12.048999999999999</v>
      </c>
    </row>
    <row r="33" spans="1:5">
      <c r="A33" s="875">
        <v>35855</v>
      </c>
      <c r="B33" s="876">
        <v>13.763999999999999</v>
      </c>
      <c r="C33" s="876">
        <v>12.268000000000001</v>
      </c>
      <c r="D33" s="876">
        <v>13.749000000000001</v>
      </c>
      <c r="E33" s="876">
        <v>12.048999999999999</v>
      </c>
    </row>
    <row r="34" spans="1:5">
      <c r="A34" s="438">
        <v>35886</v>
      </c>
      <c r="B34" s="423">
        <v>12.731</v>
      </c>
      <c r="C34" s="423">
        <v>12.268000000000001</v>
      </c>
      <c r="D34" s="423">
        <v>12.663</v>
      </c>
      <c r="E34" s="423">
        <v>12.048999999999999</v>
      </c>
    </row>
    <row r="35" spans="1:5">
      <c r="A35" s="875">
        <v>35916</v>
      </c>
      <c r="B35" s="876">
        <v>11.170999999999999</v>
      </c>
      <c r="C35" s="876">
        <v>12.268000000000001</v>
      </c>
      <c r="D35" s="876">
        <v>10.464</v>
      </c>
      <c r="E35" s="876">
        <v>12.048999999999999</v>
      </c>
    </row>
    <row r="36" spans="1:5">
      <c r="A36" s="438">
        <v>35947</v>
      </c>
      <c r="B36" s="423">
        <v>12.436</v>
      </c>
      <c r="C36" s="423">
        <v>12.268000000000001</v>
      </c>
      <c r="D36" s="423">
        <v>12.269</v>
      </c>
      <c r="E36" s="423">
        <v>12.048999999999999</v>
      </c>
    </row>
    <row r="37" spans="1:5">
      <c r="A37" s="875">
        <v>35977</v>
      </c>
      <c r="B37" s="876">
        <v>7.2239999999999993</v>
      </c>
      <c r="C37" s="876">
        <v>12.268000000000001</v>
      </c>
      <c r="D37" s="876">
        <v>6.9870000000000001</v>
      </c>
      <c r="E37" s="876">
        <v>12.048999999999999</v>
      </c>
    </row>
    <row r="38" spans="1:5">
      <c r="A38" s="438">
        <v>36008</v>
      </c>
      <c r="B38" s="423">
        <v>5.7380000000000004</v>
      </c>
      <c r="C38" s="423">
        <v>12.268000000000001</v>
      </c>
      <c r="D38" s="423">
        <v>6.6260000000000003</v>
      </c>
      <c r="E38" s="423">
        <v>12.048999999999999</v>
      </c>
    </row>
    <row r="39" spans="1:5">
      <c r="A39" s="875">
        <v>36039</v>
      </c>
      <c r="B39" s="876">
        <v>8.4379999999999988</v>
      </c>
      <c r="C39" s="876">
        <v>12.268000000000001</v>
      </c>
      <c r="D39" s="876">
        <v>8.4340000000000011</v>
      </c>
      <c r="E39" s="876">
        <v>12.048999999999999</v>
      </c>
    </row>
    <row r="40" spans="1:5">
      <c r="A40" s="438">
        <v>36069</v>
      </c>
      <c r="B40" s="423">
        <v>11.437999999999999</v>
      </c>
      <c r="C40" s="423">
        <v>12.268000000000001</v>
      </c>
      <c r="D40" s="423">
        <v>11.221</v>
      </c>
      <c r="E40" s="423">
        <v>12.048999999999999</v>
      </c>
    </row>
    <row r="41" spans="1:5">
      <c r="A41" s="875">
        <v>36100</v>
      </c>
      <c r="B41" s="876">
        <v>15.349</v>
      </c>
      <c r="C41" s="876">
        <v>12.268000000000001</v>
      </c>
      <c r="D41" s="876">
        <v>14.411000000000001</v>
      </c>
      <c r="E41" s="876">
        <v>12.048999999999999</v>
      </c>
    </row>
    <row r="42" spans="1:5">
      <c r="A42" s="438">
        <v>36130</v>
      </c>
      <c r="B42" s="423">
        <v>16.045999999999999</v>
      </c>
      <c r="C42" s="423">
        <v>12.268000000000001</v>
      </c>
      <c r="D42" s="423">
        <v>14.981999999999999</v>
      </c>
      <c r="E42" s="423">
        <v>12.048999999999999</v>
      </c>
    </row>
    <row r="43" spans="1:5">
      <c r="A43" s="875">
        <v>36161</v>
      </c>
      <c r="B43" s="876">
        <v>14.521000000000001</v>
      </c>
      <c r="C43" s="876">
        <v>11.84</v>
      </c>
      <c r="D43" s="876">
        <v>14.26</v>
      </c>
      <c r="E43" s="876">
        <v>11.942</v>
      </c>
    </row>
    <row r="44" spans="1:5">
      <c r="A44" s="438">
        <v>36192</v>
      </c>
      <c r="B44" s="423">
        <v>13.036000000000001</v>
      </c>
      <c r="C44" s="423">
        <v>11.84</v>
      </c>
      <c r="D44" s="423">
        <v>13.038999999999998</v>
      </c>
      <c r="E44" s="423">
        <v>11.942</v>
      </c>
    </row>
    <row r="45" spans="1:5">
      <c r="A45" s="875">
        <v>36220</v>
      </c>
      <c r="B45" s="876">
        <v>11.055</v>
      </c>
      <c r="C45" s="876">
        <v>11.84</v>
      </c>
      <c r="D45" s="876">
        <v>10.876999999999999</v>
      </c>
      <c r="E45" s="876">
        <v>11.942</v>
      </c>
    </row>
    <row r="46" spans="1:5">
      <c r="A46" s="438">
        <v>36251</v>
      </c>
      <c r="B46" s="423">
        <v>9.4030000000000005</v>
      </c>
      <c r="C46" s="423">
        <v>11.84</v>
      </c>
      <c r="D46" s="423">
        <v>8.8670000000000009</v>
      </c>
      <c r="E46" s="423">
        <v>11.942</v>
      </c>
    </row>
    <row r="47" spans="1:5">
      <c r="A47" s="875">
        <v>36281</v>
      </c>
      <c r="B47" s="876">
        <v>10.132999999999999</v>
      </c>
      <c r="C47" s="876">
        <v>11.84</v>
      </c>
      <c r="D47" s="876">
        <v>9.5120000000000005</v>
      </c>
      <c r="E47" s="876">
        <v>11.942</v>
      </c>
    </row>
    <row r="48" spans="1:5">
      <c r="A48" s="438">
        <v>36312</v>
      </c>
      <c r="B48" s="423">
        <v>8.854000000000001</v>
      </c>
      <c r="C48" s="423">
        <v>11.84</v>
      </c>
      <c r="D48" s="423">
        <v>9.2159999999999993</v>
      </c>
      <c r="E48" s="423">
        <v>11.942</v>
      </c>
    </row>
    <row r="49" spans="1:5">
      <c r="A49" s="875">
        <v>36342</v>
      </c>
      <c r="B49" s="876">
        <v>7.2819999999999991</v>
      </c>
      <c r="C49" s="876">
        <v>11.84</v>
      </c>
      <c r="D49" s="876">
        <v>8.49</v>
      </c>
      <c r="E49" s="876">
        <v>11.942</v>
      </c>
    </row>
    <row r="50" spans="1:5">
      <c r="A50" s="438">
        <v>36373</v>
      </c>
      <c r="B50" s="423">
        <v>11.668000000000001</v>
      </c>
      <c r="C50" s="423">
        <v>11.84</v>
      </c>
      <c r="D50" s="423">
        <v>12.541</v>
      </c>
      <c r="E50" s="423">
        <v>11.942</v>
      </c>
    </row>
    <row r="51" spans="1:5">
      <c r="A51" s="875">
        <v>36404</v>
      </c>
      <c r="B51" s="876">
        <v>13.895</v>
      </c>
      <c r="C51" s="876">
        <v>11.84</v>
      </c>
      <c r="D51" s="876">
        <v>14.196000000000002</v>
      </c>
      <c r="E51" s="876">
        <v>11.942</v>
      </c>
    </row>
    <row r="52" spans="1:5">
      <c r="A52" s="438">
        <v>36434</v>
      </c>
      <c r="B52" s="423">
        <v>14.162000000000001</v>
      </c>
      <c r="C52" s="423">
        <v>11.84</v>
      </c>
      <c r="D52" s="423">
        <v>14.099</v>
      </c>
      <c r="E52" s="423">
        <v>11.942</v>
      </c>
    </row>
    <row r="53" spans="1:5">
      <c r="A53" s="875">
        <v>36465</v>
      </c>
      <c r="B53" s="876">
        <v>13.234999999999999</v>
      </c>
      <c r="C53" s="876">
        <v>11.84</v>
      </c>
      <c r="D53" s="876">
        <v>13.236000000000001</v>
      </c>
      <c r="E53" s="876">
        <v>11.942</v>
      </c>
    </row>
    <row r="54" spans="1:5">
      <c r="A54" s="438">
        <v>36495</v>
      </c>
      <c r="B54" s="423">
        <v>14.882</v>
      </c>
      <c r="C54" s="423">
        <v>11.84</v>
      </c>
      <c r="D54" s="423">
        <v>14.997999999999999</v>
      </c>
      <c r="E54" s="423">
        <v>11.942</v>
      </c>
    </row>
    <row r="55" spans="1:5">
      <c r="A55" s="875">
        <v>36526</v>
      </c>
      <c r="B55" s="876">
        <v>13.931000000000001</v>
      </c>
      <c r="C55" s="876">
        <v>10.79</v>
      </c>
      <c r="D55" s="876">
        <v>16.042999999999999</v>
      </c>
      <c r="E55" s="876">
        <v>12.042</v>
      </c>
    </row>
    <row r="56" spans="1:5">
      <c r="A56" s="438">
        <v>36557</v>
      </c>
      <c r="B56" s="423">
        <v>10.972</v>
      </c>
      <c r="C56" s="423">
        <v>10.79</v>
      </c>
      <c r="D56" s="423">
        <v>10.993</v>
      </c>
      <c r="E56" s="423">
        <v>12.042</v>
      </c>
    </row>
    <row r="57" spans="1:5">
      <c r="A57" s="875">
        <v>36586</v>
      </c>
      <c r="B57" s="876">
        <v>9.8810000000000002</v>
      </c>
      <c r="C57" s="876">
        <v>10.79</v>
      </c>
      <c r="D57" s="876">
        <v>10.337</v>
      </c>
      <c r="E57" s="876">
        <v>12.042</v>
      </c>
    </row>
    <row r="58" spans="1:5">
      <c r="A58" s="438">
        <v>36617</v>
      </c>
      <c r="B58" s="423">
        <v>10.589</v>
      </c>
      <c r="C58" s="423">
        <v>10.79</v>
      </c>
      <c r="D58" s="423">
        <v>10.757</v>
      </c>
      <c r="E58" s="423">
        <v>12.042</v>
      </c>
    </row>
    <row r="59" spans="1:5">
      <c r="A59" s="875">
        <v>36647</v>
      </c>
      <c r="B59" s="876">
        <v>7.8330000000000002</v>
      </c>
      <c r="C59" s="876">
        <v>10.79</v>
      </c>
      <c r="D59" s="876">
        <v>11.751999999999999</v>
      </c>
      <c r="E59" s="876">
        <v>12.042</v>
      </c>
    </row>
    <row r="60" spans="1:5">
      <c r="A60" s="438">
        <v>36678</v>
      </c>
      <c r="B60" s="423">
        <v>8.67</v>
      </c>
      <c r="C60" s="423">
        <v>10.79</v>
      </c>
      <c r="D60" s="423">
        <v>10.491</v>
      </c>
      <c r="E60" s="423">
        <v>12.042</v>
      </c>
    </row>
    <row r="61" spans="1:5">
      <c r="A61" s="875">
        <v>36708</v>
      </c>
      <c r="B61" s="876">
        <v>5.3390000000000004</v>
      </c>
      <c r="C61" s="876">
        <v>10.79</v>
      </c>
      <c r="D61" s="876">
        <v>6.645999999999999</v>
      </c>
      <c r="E61" s="876">
        <v>12.042</v>
      </c>
    </row>
    <row r="62" spans="1:5">
      <c r="A62" s="438">
        <v>36739</v>
      </c>
      <c r="B62" s="423">
        <v>8.2100000000000009</v>
      </c>
      <c r="C62" s="423">
        <v>10.79</v>
      </c>
      <c r="D62" s="423">
        <v>9.8330000000000002</v>
      </c>
      <c r="E62" s="423">
        <v>12.042</v>
      </c>
    </row>
    <row r="63" spans="1:5">
      <c r="A63" s="875">
        <v>36770</v>
      </c>
      <c r="B63" s="876">
        <v>11.918000000000001</v>
      </c>
      <c r="C63" s="876">
        <v>10.79</v>
      </c>
      <c r="D63" s="876">
        <v>13.931000000000001</v>
      </c>
      <c r="E63" s="876">
        <v>12.042</v>
      </c>
    </row>
    <row r="64" spans="1:5">
      <c r="A64" s="438">
        <v>36800</v>
      </c>
      <c r="B64" s="423">
        <v>13.138</v>
      </c>
      <c r="C64" s="423">
        <v>10.79</v>
      </c>
      <c r="D64" s="423">
        <v>13.825999999999999</v>
      </c>
      <c r="E64" s="423">
        <v>12.042</v>
      </c>
    </row>
    <row r="65" spans="1:5">
      <c r="A65" s="875">
        <v>36831</v>
      </c>
      <c r="B65" s="876">
        <v>14.452999999999999</v>
      </c>
      <c r="C65" s="876">
        <v>10.79</v>
      </c>
      <c r="D65" s="876">
        <v>14.824999999999999</v>
      </c>
      <c r="E65" s="876">
        <v>12.042</v>
      </c>
    </row>
    <row r="66" spans="1:5">
      <c r="A66" s="438">
        <v>36861</v>
      </c>
      <c r="B66" s="423">
        <v>14.69</v>
      </c>
      <c r="C66" s="423">
        <v>10.79</v>
      </c>
      <c r="D66" s="423">
        <v>15.055</v>
      </c>
      <c r="E66" s="423">
        <v>12.042</v>
      </c>
    </row>
    <row r="67" spans="1:5">
      <c r="A67" s="875">
        <v>36892</v>
      </c>
      <c r="B67" s="876">
        <v>18.187000000000001</v>
      </c>
      <c r="C67" s="876">
        <v>21.362000000000002</v>
      </c>
      <c r="D67" s="876">
        <v>18.196999999999999</v>
      </c>
      <c r="E67" s="876">
        <v>21.093</v>
      </c>
    </row>
    <row r="68" spans="1:5">
      <c r="A68" s="438">
        <v>36923</v>
      </c>
      <c r="B68" s="423">
        <v>24.234000000000002</v>
      </c>
      <c r="C68" s="423">
        <v>21.362000000000002</v>
      </c>
      <c r="D68" s="423">
        <v>24.295999999999999</v>
      </c>
      <c r="E68" s="423">
        <v>21.093</v>
      </c>
    </row>
    <row r="69" spans="1:5">
      <c r="A69" s="875">
        <v>36951</v>
      </c>
      <c r="B69" s="876">
        <v>23.577999999999999</v>
      </c>
      <c r="C69" s="876">
        <v>21.362000000000002</v>
      </c>
      <c r="D69" s="876">
        <v>23.521000000000001</v>
      </c>
      <c r="E69" s="876">
        <v>21.093</v>
      </c>
    </row>
    <row r="70" spans="1:5">
      <c r="A70" s="438">
        <v>36982</v>
      </c>
      <c r="B70" s="423">
        <v>24.067</v>
      </c>
      <c r="C70" s="423">
        <v>21.362000000000002</v>
      </c>
      <c r="D70" s="423">
        <v>23.972999999999999</v>
      </c>
      <c r="E70" s="423">
        <v>21.093</v>
      </c>
    </row>
    <row r="71" spans="1:5">
      <c r="A71" s="875">
        <v>37012</v>
      </c>
      <c r="B71" s="876">
        <v>21.783000000000001</v>
      </c>
      <c r="C71" s="876">
        <v>21.362000000000002</v>
      </c>
      <c r="D71" s="876">
        <v>19.687999999999999</v>
      </c>
      <c r="E71" s="876">
        <v>21.093</v>
      </c>
    </row>
    <row r="72" spans="1:5">
      <c r="A72" s="438">
        <v>37043</v>
      </c>
      <c r="B72" s="423">
        <v>23.243000000000002</v>
      </c>
      <c r="C72" s="423">
        <v>21.362000000000002</v>
      </c>
      <c r="D72" s="423">
        <v>23.196999999999999</v>
      </c>
      <c r="E72" s="423">
        <v>21.093</v>
      </c>
    </row>
    <row r="73" spans="1:5">
      <c r="A73" s="875">
        <v>37073</v>
      </c>
      <c r="B73" s="876">
        <v>20.92</v>
      </c>
      <c r="C73" s="876">
        <v>21.362000000000002</v>
      </c>
      <c r="D73" s="876">
        <v>20.634</v>
      </c>
      <c r="E73" s="876">
        <v>21.093</v>
      </c>
    </row>
    <row r="74" spans="1:5">
      <c r="A74" s="438">
        <v>37104</v>
      </c>
      <c r="B74" s="423">
        <v>19.827000000000002</v>
      </c>
      <c r="C74" s="423">
        <v>21.362000000000002</v>
      </c>
      <c r="D74" s="423">
        <v>19.619</v>
      </c>
      <c r="E74" s="423">
        <v>21.093</v>
      </c>
    </row>
    <row r="75" spans="1:5">
      <c r="A75" s="875">
        <v>37135</v>
      </c>
      <c r="B75" s="876">
        <v>20.166</v>
      </c>
      <c r="C75" s="876">
        <v>21.362000000000002</v>
      </c>
      <c r="D75" s="876">
        <v>18.677</v>
      </c>
      <c r="E75" s="876">
        <v>21.093</v>
      </c>
    </row>
    <row r="76" spans="1:5">
      <c r="A76" s="438">
        <v>37165</v>
      </c>
      <c r="B76" s="423">
        <v>18.27</v>
      </c>
      <c r="C76" s="423">
        <v>21.362000000000002</v>
      </c>
      <c r="D76" s="423">
        <v>18.062000000000001</v>
      </c>
      <c r="E76" s="423">
        <v>21.093</v>
      </c>
    </row>
    <row r="77" spans="1:5">
      <c r="A77" s="875">
        <v>37196</v>
      </c>
      <c r="B77" s="876">
        <v>20.143000000000001</v>
      </c>
      <c r="C77" s="876">
        <v>21.362000000000002</v>
      </c>
      <c r="D77" s="876">
        <v>20.309000000000001</v>
      </c>
      <c r="E77" s="876">
        <v>21.093</v>
      </c>
    </row>
    <row r="78" spans="1:5">
      <c r="A78" s="438">
        <v>37226</v>
      </c>
      <c r="B78" s="423">
        <v>22.277999999999999</v>
      </c>
      <c r="C78" s="423">
        <v>21.362000000000002</v>
      </c>
      <c r="D78" s="423">
        <v>23.324000000000002</v>
      </c>
      <c r="E78" s="423">
        <v>21.093</v>
      </c>
    </row>
    <row r="79" spans="1:5">
      <c r="A79" s="875">
        <v>37257</v>
      </c>
      <c r="B79" s="876">
        <v>22.610963709677435</v>
      </c>
      <c r="C79" s="876">
        <v>24.590240867580011</v>
      </c>
      <c r="D79" s="876">
        <v>22.939845430107528</v>
      </c>
      <c r="E79" s="876">
        <v>25.235487442922473</v>
      </c>
    </row>
    <row r="80" spans="1:5">
      <c r="A80" s="438">
        <v>37288</v>
      </c>
      <c r="B80" s="423">
        <v>18.639598214285705</v>
      </c>
      <c r="C80" s="423">
        <v>24.590240867580011</v>
      </c>
      <c r="D80" s="423">
        <v>18.735683035714292</v>
      </c>
      <c r="E80" s="423">
        <v>25.235487442922473</v>
      </c>
    </row>
    <row r="81" spans="1:5">
      <c r="A81" s="875">
        <v>37316</v>
      </c>
      <c r="B81" s="876">
        <v>16.840710632570637</v>
      </c>
      <c r="C81" s="876">
        <v>24.590240867580011</v>
      </c>
      <c r="D81" s="876">
        <v>16.860235531628518</v>
      </c>
      <c r="E81" s="876">
        <v>25.235487442922473</v>
      </c>
    </row>
    <row r="82" spans="1:5">
      <c r="A82" s="438">
        <v>37347</v>
      </c>
      <c r="B82" s="423">
        <v>15.851616666666661</v>
      </c>
      <c r="C82" s="423">
        <v>24.590240867580011</v>
      </c>
      <c r="D82" s="423">
        <v>15.854244444444433</v>
      </c>
      <c r="E82" s="423">
        <v>25.235487442922473</v>
      </c>
    </row>
    <row r="83" spans="1:5">
      <c r="A83" s="875">
        <v>37377</v>
      </c>
      <c r="B83" s="876">
        <v>14.08311559139786</v>
      </c>
      <c r="C83" s="876">
        <v>24.590240867580011</v>
      </c>
      <c r="D83" s="876">
        <v>14.535721774193551</v>
      </c>
      <c r="E83" s="876">
        <v>25.235487442922473</v>
      </c>
    </row>
    <row r="84" spans="1:5">
      <c r="A84" s="438">
        <v>37408</v>
      </c>
      <c r="B84" s="423">
        <v>14.974127777777801</v>
      </c>
      <c r="C84" s="423">
        <v>24.590240867580011</v>
      </c>
      <c r="D84" s="423">
        <v>18.078116666666666</v>
      </c>
      <c r="E84" s="423">
        <v>25.235487442922473</v>
      </c>
    </row>
    <row r="85" spans="1:5">
      <c r="A85" s="875">
        <v>37438</v>
      </c>
      <c r="B85" s="876">
        <v>14.497874999999999</v>
      </c>
      <c r="C85" s="876">
        <v>24.590240867580011</v>
      </c>
      <c r="D85" s="876">
        <v>15.737110215053772</v>
      </c>
      <c r="E85" s="876">
        <v>25.235487442922473</v>
      </c>
    </row>
    <row r="86" spans="1:5">
      <c r="A86" s="438">
        <v>37469</v>
      </c>
      <c r="B86" s="423">
        <v>18.736151881720453</v>
      </c>
      <c r="C86" s="423">
        <v>24.590240867580011</v>
      </c>
      <c r="D86" s="423">
        <v>20.805142473118309</v>
      </c>
      <c r="E86" s="423">
        <v>25.235487442922473</v>
      </c>
    </row>
    <row r="87" spans="1:5">
      <c r="A87" s="875">
        <v>37500</v>
      </c>
      <c r="B87" s="876">
        <v>22.577911111111085</v>
      </c>
      <c r="C87" s="876">
        <v>24.590240867580011</v>
      </c>
      <c r="D87" s="876">
        <v>23.646237499999991</v>
      </c>
      <c r="E87" s="876">
        <v>25.235487442922473</v>
      </c>
    </row>
    <row r="88" spans="1:5">
      <c r="A88" s="438">
        <v>37530</v>
      </c>
      <c r="B88" s="423">
        <v>28.52251409395971</v>
      </c>
      <c r="C88" s="423">
        <v>24.590240867580011</v>
      </c>
      <c r="D88" s="423">
        <v>28.784726174496605</v>
      </c>
      <c r="E88" s="423">
        <v>25.235487442922473</v>
      </c>
    </row>
    <row r="89" spans="1:5">
      <c r="A89" s="875">
        <v>37561</v>
      </c>
      <c r="B89" s="876">
        <v>39.212172222222179</v>
      </c>
      <c r="C89" s="876">
        <v>24.590240867580011</v>
      </c>
      <c r="D89" s="876">
        <v>39.24131527777773</v>
      </c>
      <c r="E89" s="876">
        <v>25.235487442922473</v>
      </c>
    </row>
    <row r="90" spans="1:5">
      <c r="A90" s="438">
        <v>37591</v>
      </c>
      <c r="B90" s="423">
        <v>67.759236559139794</v>
      </c>
      <c r="C90" s="423">
        <v>24.590240867580011</v>
      </c>
      <c r="D90" s="423">
        <v>66.829461021505409</v>
      </c>
      <c r="E90" s="423">
        <v>25.235487442922473</v>
      </c>
    </row>
    <row r="91" spans="1:5">
      <c r="A91" s="875">
        <v>37622</v>
      </c>
      <c r="B91" s="876">
        <v>65.604465053763477</v>
      </c>
      <c r="C91" s="876">
        <v>33.486159474885746</v>
      </c>
      <c r="D91" s="876">
        <v>64.345744623655989</v>
      </c>
      <c r="E91" s="876">
        <v>33.299083789954182</v>
      </c>
    </row>
    <row r="92" spans="1:5">
      <c r="A92" s="438">
        <v>37653</v>
      </c>
      <c r="B92" s="423">
        <v>44.167177083333343</v>
      </c>
      <c r="C92" s="423">
        <v>33.486159474885746</v>
      </c>
      <c r="D92" s="423">
        <v>44.097244047619064</v>
      </c>
      <c r="E92" s="423">
        <v>33.299083789954182</v>
      </c>
    </row>
    <row r="93" spans="1:5">
      <c r="A93" s="875">
        <v>37681</v>
      </c>
      <c r="B93" s="876">
        <v>36.416051144010723</v>
      </c>
      <c r="C93" s="876">
        <v>33.486159474885746</v>
      </c>
      <c r="D93" s="876">
        <v>35.482211305518192</v>
      </c>
      <c r="E93" s="876">
        <v>33.299083789954182</v>
      </c>
    </row>
    <row r="94" spans="1:5">
      <c r="A94" s="438">
        <v>37712</v>
      </c>
      <c r="B94" s="423">
        <v>28.890844444444419</v>
      </c>
      <c r="C94" s="423">
        <v>33.486159474885746</v>
      </c>
      <c r="D94" s="423">
        <v>27.579786111111105</v>
      </c>
      <c r="E94" s="423">
        <v>33.299083789954182</v>
      </c>
    </row>
    <row r="95" spans="1:5">
      <c r="A95" s="875">
        <v>37742</v>
      </c>
      <c r="B95" s="876">
        <v>27.015022849462355</v>
      </c>
      <c r="C95" s="876">
        <v>33.486159474885746</v>
      </c>
      <c r="D95" s="876">
        <v>26.974120967741946</v>
      </c>
      <c r="E95" s="876">
        <v>33.299083789954182</v>
      </c>
    </row>
    <row r="96" spans="1:5">
      <c r="A96" s="438">
        <v>37773</v>
      </c>
      <c r="B96" s="423">
        <v>22.603236111111098</v>
      </c>
      <c r="C96" s="423">
        <v>33.486159474885746</v>
      </c>
      <c r="D96" s="423">
        <v>24.306976388888867</v>
      </c>
      <c r="E96" s="423">
        <v>33.299083789954182</v>
      </c>
    </row>
    <row r="97" spans="1:5">
      <c r="A97" s="875">
        <v>37803</v>
      </c>
      <c r="B97" s="876">
        <v>25.419145161290345</v>
      </c>
      <c r="C97" s="876">
        <v>33.486159474885746</v>
      </c>
      <c r="D97" s="876">
        <v>25.883209677419377</v>
      </c>
      <c r="E97" s="876">
        <v>33.299083789954182</v>
      </c>
    </row>
    <row r="98" spans="1:5">
      <c r="A98" s="438">
        <v>37834</v>
      </c>
      <c r="B98" s="423">
        <v>30.485241935483877</v>
      </c>
      <c r="C98" s="423">
        <v>33.486159474885746</v>
      </c>
      <c r="D98" s="423">
        <v>30.75842607526878</v>
      </c>
      <c r="E98" s="423">
        <v>33.299083789954182</v>
      </c>
    </row>
    <row r="99" spans="1:5">
      <c r="A99" s="875">
        <v>37865</v>
      </c>
      <c r="B99" s="876">
        <v>29.331613888888871</v>
      </c>
      <c r="C99" s="876">
        <v>33.486159474885746</v>
      </c>
      <c r="D99" s="876">
        <v>29.724776388888905</v>
      </c>
      <c r="E99" s="876">
        <v>33.299083789954182</v>
      </c>
    </row>
    <row r="100" spans="1:5">
      <c r="A100" s="438">
        <v>37895</v>
      </c>
      <c r="B100" s="423">
        <v>31.638649664429572</v>
      </c>
      <c r="C100" s="423">
        <v>33.486159474885746</v>
      </c>
      <c r="D100" s="423">
        <v>32.215013422818792</v>
      </c>
      <c r="E100" s="423">
        <v>33.299083789954182</v>
      </c>
    </row>
    <row r="101" spans="1:5">
      <c r="A101" s="875">
        <v>37926</v>
      </c>
      <c r="B101" s="876">
        <v>32.61553472222225</v>
      </c>
      <c r="C101" s="876">
        <v>33.486159474885746</v>
      </c>
      <c r="D101" s="876">
        <v>32.104741666666662</v>
      </c>
      <c r="E101" s="876">
        <v>33.299083789954182</v>
      </c>
    </row>
    <row r="102" spans="1:5">
      <c r="A102" s="438">
        <v>37956</v>
      </c>
      <c r="B102" s="423">
        <v>28.025599462365619</v>
      </c>
      <c r="C102" s="423">
        <v>33.486159474885746</v>
      </c>
      <c r="D102" s="423">
        <v>26.537740591397881</v>
      </c>
      <c r="E102" s="423">
        <v>33.299083789954182</v>
      </c>
    </row>
    <row r="103" spans="1:5">
      <c r="A103" s="875">
        <v>37987</v>
      </c>
      <c r="B103" s="876">
        <v>26.514880376344099</v>
      </c>
      <c r="C103" s="876">
        <v>26.394254098360602</v>
      </c>
      <c r="D103" s="876">
        <v>26.302017473118301</v>
      </c>
      <c r="E103" s="876">
        <v>25.6285524817851</v>
      </c>
    </row>
    <row r="104" spans="1:5">
      <c r="A104" s="438">
        <v>38018</v>
      </c>
      <c r="B104" s="423">
        <v>25.2390043103448</v>
      </c>
      <c r="C104" s="423">
        <v>26.394254098360602</v>
      </c>
      <c r="D104" s="423">
        <v>25.082913793103501</v>
      </c>
      <c r="E104" s="423">
        <v>25.6285524817851</v>
      </c>
    </row>
    <row r="105" spans="1:5">
      <c r="A105" s="875">
        <v>38047</v>
      </c>
      <c r="B105" s="876">
        <v>26.944020188425299</v>
      </c>
      <c r="C105" s="876">
        <v>26.394254098360602</v>
      </c>
      <c r="D105" s="876">
        <v>26.3589044414536</v>
      </c>
      <c r="E105" s="876">
        <v>25.6285524817851</v>
      </c>
    </row>
    <row r="106" spans="1:5">
      <c r="A106" s="438">
        <v>38078</v>
      </c>
      <c r="B106" s="423">
        <v>26.387111111111199</v>
      </c>
      <c r="C106" s="423">
        <v>26.394254098360602</v>
      </c>
      <c r="D106" s="423">
        <v>24.351908333333402</v>
      </c>
      <c r="E106" s="423">
        <v>25.6285524817851</v>
      </c>
    </row>
    <row r="107" spans="1:5">
      <c r="A107" s="875">
        <v>38108</v>
      </c>
      <c r="B107" s="876">
        <v>25.45285349462366</v>
      </c>
      <c r="C107" s="876">
        <v>26.394254098360602</v>
      </c>
      <c r="D107" s="876">
        <v>24.714778225806448</v>
      </c>
      <c r="E107" s="876">
        <v>25.6285524817851</v>
      </c>
    </row>
    <row r="108" spans="1:5">
      <c r="A108" s="438">
        <v>38139</v>
      </c>
      <c r="B108" s="423">
        <v>29.27753194444448</v>
      </c>
      <c r="C108" s="423">
        <v>26.394254098360602</v>
      </c>
      <c r="D108" s="423">
        <v>29.042166666666681</v>
      </c>
      <c r="E108" s="423">
        <v>25.6285524817851</v>
      </c>
    </row>
    <row r="109" spans="1:5">
      <c r="A109" s="875">
        <v>38169</v>
      </c>
      <c r="B109" s="876">
        <v>25.879008064516103</v>
      </c>
      <c r="C109" s="876">
        <v>26.394254098360602</v>
      </c>
      <c r="D109" s="876">
        <v>23.843684139784962</v>
      </c>
      <c r="E109" s="876">
        <v>25.6285524817851</v>
      </c>
    </row>
    <row r="110" spans="1:5">
      <c r="A110" s="438">
        <v>38200</v>
      </c>
      <c r="B110" s="423">
        <v>29.995498655914009</v>
      </c>
      <c r="C110" s="423">
        <v>26.394254098360602</v>
      </c>
      <c r="D110" s="423">
        <v>29.889868279569903</v>
      </c>
      <c r="E110" s="423">
        <v>25.6285524817851</v>
      </c>
    </row>
    <row r="111" spans="1:5">
      <c r="A111" s="875">
        <v>38231</v>
      </c>
      <c r="B111" s="876">
        <v>26.344741666666675</v>
      </c>
      <c r="C111" s="876">
        <v>26.394254098360602</v>
      </c>
      <c r="D111" s="876">
        <v>25.834084722222201</v>
      </c>
      <c r="E111" s="876">
        <v>25.6285524817851</v>
      </c>
    </row>
    <row r="112" spans="1:5">
      <c r="A112" s="438">
        <v>38261</v>
      </c>
      <c r="B112" s="423">
        <v>25.148249664429535</v>
      </c>
      <c r="C112" s="423">
        <v>26.394254098360602</v>
      </c>
      <c r="D112" s="423">
        <v>23.905044295301987</v>
      </c>
      <c r="E112" s="423">
        <v>25.6285524817851</v>
      </c>
    </row>
    <row r="113" spans="1:5">
      <c r="A113" s="875">
        <v>38292</v>
      </c>
      <c r="B113" s="876">
        <v>26.276401388888861</v>
      </c>
      <c r="C113" s="876">
        <v>26.394254098360602</v>
      </c>
      <c r="D113" s="876">
        <v>25.341184722222199</v>
      </c>
      <c r="E113" s="876">
        <v>25.6285524817851</v>
      </c>
    </row>
    <row r="114" spans="1:5">
      <c r="A114" s="438">
        <v>38322</v>
      </c>
      <c r="B114" s="423">
        <v>23.287009408602142</v>
      </c>
      <c r="C114" s="423">
        <v>26.394254098360602</v>
      </c>
      <c r="D114" s="423">
        <v>22.910465053763446</v>
      </c>
      <c r="E114" s="423">
        <v>25.6285524817851</v>
      </c>
    </row>
    <row r="115" spans="1:5">
      <c r="A115" s="875">
        <v>38353</v>
      </c>
      <c r="B115" s="876">
        <v>20.819307795698922</v>
      </c>
      <c r="C115" s="876">
        <v>27.245999999999999</v>
      </c>
      <c r="D115" s="876">
        <v>20.967721774193539</v>
      </c>
      <c r="E115" s="876">
        <v>27.644960000000001</v>
      </c>
    </row>
    <row r="116" spans="1:5">
      <c r="A116" s="438">
        <v>38384</v>
      </c>
      <c r="B116" s="423">
        <v>22.81482738095238</v>
      </c>
      <c r="C116" s="423">
        <v>27.245999999999999</v>
      </c>
      <c r="D116" s="423">
        <v>23.088055059523825</v>
      </c>
      <c r="E116" s="423">
        <v>27.644960000000001</v>
      </c>
    </row>
    <row r="117" spans="1:5">
      <c r="A117" s="875">
        <v>38412</v>
      </c>
      <c r="B117" s="876">
        <v>26.765118438761778</v>
      </c>
      <c r="C117" s="876">
        <v>27.245999999999999</v>
      </c>
      <c r="D117" s="876">
        <v>28.028277254374178</v>
      </c>
      <c r="E117" s="876">
        <v>27.644960000000001</v>
      </c>
    </row>
    <row r="118" spans="1:5">
      <c r="A118" s="438">
        <v>38443</v>
      </c>
      <c r="B118" s="423">
        <v>28.159188888888877</v>
      </c>
      <c r="C118" s="423">
        <v>27.245999999999999</v>
      </c>
      <c r="D118" s="423">
        <v>28.307969444444439</v>
      </c>
      <c r="E118" s="423">
        <v>27.644960000000001</v>
      </c>
    </row>
    <row r="119" spans="1:5">
      <c r="A119" s="875">
        <v>38473</v>
      </c>
      <c r="B119" s="876">
        <v>28.402924731182829</v>
      </c>
      <c r="C119" s="876">
        <v>27.245999999999999</v>
      </c>
      <c r="D119" s="876">
        <v>28.81928360215058</v>
      </c>
      <c r="E119" s="876">
        <v>27.644960000000001</v>
      </c>
    </row>
    <row r="120" spans="1:5">
      <c r="A120" s="438">
        <v>38504</v>
      </c>
      <c r="B120" s="423">
        <v>24.274165277777815</v>
      </c>
      <c r="C120" s="423">
        <v>27.245999999999999</v>
      </c>
      <c r="D120" s="423">
        <v>24.762622222222241</v>
      </c>
      <c r="E120" s="423">
        <v>27.644960000000001</v>
      </c>
    </row>
    <row r="121" spans="1:5">
      <c r="A121" s="875">
        <v>38534</v>
      </c>
      <c r="B121" s="876">
        <v>27.177668010752718</v>
      </c>
      <c r="C121" s="876">
        <v>27.245999999999999</v>
      </c>
      <c r="D121" s="876">
        <v>27.417711021505397</v>
      </c>
      <c r="E121" s="876">
        <v>27.644960000000001</v>
      </c>
    </row>
    <row r="122" spans="1:5">
      <c r="A122" s="438">
        <v>38565</v>
      </c>
      <c r="B122" s="423">
        <v>28.963000000000001</v>
      </c>
      <c r="C122" s="423">
        <v>27.245999999999999</v>
      </c>
      <c r="D122" s="423">
        <v>29.135999999999999</v>
      </c>
      <c r="E122" s="423">
        <v>27.644960000000001</v>
      </c>
    </row>
    <row r="123" spans="1:5">
      <c r="A123" s="875">
        <v>38596</v>
      </c>
      <c r="B123" s="876">
        <v>27.41</v>
      </c>
      <c r="C123" s="876">
        <v>27.245999999999999</v>
      </c>
      <c r="D123" s="876">
        <v>27.527000000000001</v>
      </c>
      <c r="E123" s="876">
        <v>27.644960000000001</v>
      </c>
    </row>
    <row r="124" spans="1:5">
      <c r="A124" s="438">
        <v>38626</v>
      </c>
      <c r="B124" s="423">
        <v>30.286000000000001</v>
      </c>
      <c r="C124" s="423">
        <v>27.245999999999999</v>
      </c>
      <c r="D124" s="423">
        <v>30.419</v>
      </c>
      <c r="E124" s="423">
        <v>27.644960000000001</v>
      </c>
    </row>
    <row r="125" spans="1:5">
      <c r="A125" s="875">
        <v>38657</v>
      </c>
      <c r="B125" s="876">
        <v>29.15</v>
      </c>
      <c r="C125" s="876">
        <v>27.245999999999999</v>
      </c>
      <c r="D125" s="876">
        <v>29.513000000000002</v>
      </c>
      <c r="E125" s="876">
        <v>27.644960000000001</v>
      </c>
    </row>
    <row r="126" spans="1:5">
      <c r="A126" s="438">
        <v>38687</v>
      </c>
      <c r="B126" s="423">
        <v>32.323</v>
      </c>
      <c r="C126" s="423">
        <v>27.245999999999999</v>
      </c>
      <c r="D126" s="423">
        <v>33.293999999999997</v>
      </c>
      <c r="E126" s="423">
        <v>27.644960000000001</v>
      </c>
    </row>
    <row r="127" spans="1:5">
      <c r="A127" s="875">
        <v>38718</v>
      </c>
      <c r="B127" s="876">
        <v>37.56</v>
      </c>
      <c r="C127" s="876">
        <v>44.978999999999999</v>
      </c>
      <c r="D127" s="876">
        <v>37.301000000000002</v>
      </c>
      <c r="E127" s="876">
        <v>44.537999999999997</v>
      </c>
    </row>
    <row r="128" spans="1:5">
      <c r="A128" s="438">
        <v>38749</v>
      </c>
      <c r="B128" s="423">
        <v>40.503</v>
      </c>
      <c r="C128" s="423">
        <v>44.978999999999999</v>
      </c>
      <c r="D128" s="423">
        <v>40.606999999999999</v>
      </c>
      <c r="E128" s="423">
        <v>44.537999999999997</v>
      </c>
    </row>
    <row r="129" spans="1:5">
      <c r="A129" s="875">
        <v>38777</v>
      </c>
      <c r="B129" s="876">
        <v>49.201999999999998</v>
      </c>
      <c r="C129" s="876">
        <v>44.978999999999999</v>
      </c>
      <c r="D129" s="876">
        <v>49.152000000000001</v>
      </c>
      <c r="E129" s="876">
        <v>44.537999999999997</v>
      </c>
    </row>
    <row r="130" spans="1:5">
      <c r="A130" s="438">
        <v>38808</v>
      </c>
      <c r="B130" s="423">
        <v>48.311</v>
      </c>
      <c r="C130" s="423">
        <v>44.978999999999999</v>
      </c>
      <c r="D130" s="423">
        <v>45.893999999999998</v>
      </c>
      <c r="E130" s="423">
        <v>44.537999999999997</v>
      </c>
    </row>
    <row r="131" spans="1:5">
      <c r="A131" s="875">
        <v>38838</v>
      </c>
      <c r="B131" s="876">
        <v>35.109000000000002</v>
      </c>
      <c r="C131" s="876">
        <v>44.978999999999999</v>
      </c>
      <c r="D131" s="876">
        <v>32.908000000000001</v>
      </c>
      <c r="E131" s="876">
        <v>44.537999999999997</v>
      </c>
    </row>
    <row r="132" spans="1:5">
      <c r="A132" s="438">
        <v>38869</v>
      </c>
      <c r="B132" s="423">
        <v>40.68</v>
      </c>
      <c r="C132" s="423">
        <v>44.978999999999999</v>
      </c>
      <c r="D132" s="423">
        <v>41.87</v>
      </c>
      <c r="E132" s="423">
        <v>44.537999999999997</v>
      </c>
    </row>
    <row r="133" spans="1:5">
      <c r="A133" s="875">
        <v>38899</v>
      </c>
      <c r="B133" s="876">
        <v>45.628999999999998</v>
      </c>
      <c r="C133" s="876">
        <v>44.978999999999999</v>
      </c>
      <c r="D133" s="876">
        <v>45.274999999999999</v>
      </c>
      <c r="E133" s="876">
        <v>44.537999999999997</v>
      </c>
    </row>
    <row r="134" spans="1:5">
      <c r="A134" s="438">
        <v>38930</v>
      </c>
      <c r="B134" s="423">
        <v>61.24</v>
      </c>
      <c r="C134" s="423">
        <v>44.978999999999999</v>
      </c>
      <c r="D134" s="423">
        <v>61.94</v>
      </c>
      <c r="E134" s="423">
        <v>44.537999999999997</v>
      </c>
    </row>
    <row r="135" spans="1:5">
      <c r="A135" s="875">
        <v>38961</v>
      </c>
      <c r="B135" s="876">
        <v>58.987000000000002</v>
      </c>
      <c r="C135" s="876">
        <v>44.978999999999999</v>
      </c>
      <c r="D135" s="876">
        <v>60.274999999999999</v>
      </c>
      <c r="E135" s="876">
        <v>44.537999999999997</v>
      </c>
    </row>
    <row r="136" spans="1:5">
      <c r="A136" s="438">
        <v>38991</v>
      </c>
      <c r="B136" s="423">
        <v>49.604999999999997</v>
      </c>
      <c r="C136" s="423">
        <v>44.978999999999999</v>
      </c>
      <c r="D136" s="423">
        <v>47.573999999999998</v>
      </c>
      <c r="E136" s="423">
        <v>44.537999999999997</v>
      </c>
    </row>
    <row r="137" spans="1:5">
      <c r="A137" s="875">
        <v>39022</v>
      </c>
      <c r="B137" s="876">
        <v>42.581000000000003</v>
      </c>
      <c r="C137" s="876">
        <v>44.978999999999999</v>
      </c>
      <c r="D137" s="876">
        <v>42.343000000000004</v>
      </c>
      <c r="E137" s="876">
        <v>44.537999999999997</v>
      </c>
    </row>
    <row r="138" spans="1:5">
      <c r="A138" s="438">
        <v>39052</v>
      </c>
      <c r="B138" s="423">
        <v>30.209</v>
      </c>
      <c r="C138" s="423">
        <v>44.978999999999999</v>
      </c>
      <c r="D138" s="423">
        <v>29.341999999999999</v>
      </c>
      <c r="E138" s="423">
        <v>44.537999999999997</v>
      </c>
    </row>
    <row r="139" spans="1:5">
      <c r="A139" s="875">
        <v>39083</v>
      </c>
      <c r="B139" s="876">
        <v>25.013090053763399</v>
      </c>
      <c r="C139" s="876">
        <v>25.87</v>
      </c>
      <c r="D139" s="876">
        <v>24.921094086021501</v>
      </c>
      <c r="E139" s="876">
        <v>28.02</v>
      </c>
    </row>
    <row r="140" spans="1:5">
      <c r="A140" s="438">
        <v>39114</v>
      </c>
      <c r="B140" s="423">
        <v>26.4474226190476</v>
      </c>
      <c r="C140" s="423">
        <v>25.87</v>
      </c>
      <c r="D140" s="423">
        <v>27.644059523809499</v>
      </c>
      <c r="E140" s="423">
        <v>28.02</v>
      </c>
    </row>
    <row r="141" spans="1:5">
      <c r="A141" s="875">
        <v>39142</v>
      </c>
      <c r="B141" s="876">
        <v>22.1475410497981</v>
      </c>
      <c r="C141" s="876">
        <v>25.87</v>
      </c>
      <c r="D141" s="876">
        <v>22.034947510094199</v>
      </c>
      <c r="E141" s="876">
        <v>28.02</v>
      </c>
    </row>
    <row r="142" spans="1:5">
      <c r="A142" s="438">
        <v>39173</v>
      </c>
      <c r="B142" s="423">
        <v>20.7323902777778</v>
      </c>
      <c r="C142" s="423">
        <v>25.87</v>
      </c>
      <c r="D142" s="423">
        <v>20.513318055555501</v>
      </c>
      <c r="E142" s="423">
        <v>28.02</v>
      </c>
    </row>
    <row r="143" spans="1:5">
      <c r="A143" s="875">
        <v>39203</v>
      </c>
      <c r="B143" s="876">
        <v>19.6646088709678</v>
      </c>
      <c r="C143" s="876">
        <v>25.87</v>
      </c>
      <c r="D143" s="876">
        <v>20.2594596774194</v>
      </c>
      <c r="E143" s="876">
        <v>28.02</v>
      </c>
    </row>
    <row r="144" spans="1:5">
      <c r="A144" s="438">
        <v>39234</v>
      </c>
      <c r="B144" s="423">
        <v>22.086411111111101</v>
      </c>
      <c r="C144" s="423">
        <v>25.87</v>
      </c>
      <c r="D144" s="423">
        <v>24.9825680555556</v>
      </c>
      <c r="E144" s="423">
        <v>28.02</v>
      </c>
    </row>
    <row r="145" spans="1:5">
      <c r="A145" s="875">
        <v>39264</v>
      </c>
      <c r="B145" s="876">
        <v>16.213306451612901</v>
      </c>
      <c r="C145" s="876">
        <v>25.87</v>
      </c>
      <c r="D145" s="876">
        <v>20.547776881720399</v>
      </c>
      <c r="E145" s="876">
        <v>28.02</v>
      </c>
    </row>
    <row r="146" spans="1:5">
      <c r="A146" s="438">
        <v>39295</v>
      </c>
      <c r="B146" s="423">
        <v>15.401956989247299</v>
      </c>
      <c r="C146" s="423">
        <v>25.87</v>
      </c>
      <c r="D146" s="423">
        <v>25.040966397849498</v>
      </c>
      <c r="E146" s="423">
        <v>28.02</v>
      </c>
    </row>
    <row r="147" spans="1:5">
      <c r="A147" s="875">
        <v>39326</v>
      </c>
      <c r="B147" s="876">
        <v>23.428197222222199</v>
      </c>
      <c r="C147" s="876">
        <v>25.87</v>
      </c>
      <c r="D147" s="876">
        <v>29.973649999999999</v>
      </c>
      <c r="E147" s="876">
        <v>28.02</v>
      </c>
    </row>
    <row r="148" spans="1:5">
      <c r="A148" s="438">
        <v>39356</v>
      </c>
      <c r="B148" s="423">
        <v>33.554030872483303</v>
      </c>
      <c r="C148" s="423">
        <v>25.87</v>
      </c>
      <c r="D148" s="423">
        <v>34.7290832214765</v>
      </c>
      <c r="E148" s="423">
        <v>28.02</v>
      </c>
    </row>
    <row r="149" spans="1:5">
      <c r="A149" s="875">
        <v>39387</v>
      </c>
      <c r="B149" s="876">
        <v>42.448572222222303</v>
      </c>
      <c r="C149" s="876">
        <v>25.87</v>
      </c>
      <c r="D149" s="876">
        <v>42.588977777777799</v>
      </c>
      <c r="E149" s="876">
        <v>28.02</v>
      </c>
    </row>
    <row r="150" spans="1:5">
      <c r="A150" s="438">
        <v>39417</v>
      </c>
      <c r="B150" s="423">
        <v>43.317115591397801</v>
      </c>
      <c r="C150" s="423">
        <v>25.87</v>
      </c>
      <c r="D150" s="423">
        <v>43.062147849462399</v>
      </c>
      <c r="E150" s="423">
        <v>28.02</v>
      </c>
    </row>
    <row r="151" spans="1:5">
      <c r="A151" s="875">
        <v>39448</v>
      </c>
      <c r="B151" s="876">
        <v>43.194200268817198</v>
      </c>
      <c r="C151" s="876">
        <v>43.122516393442524</v>
      </c>
      <c r="D151" s="876">
        <v>43.458084677419301</v>
      </c>
      <c r="E151" s="876">
        <v>49.16</v>
      </c>
    </row>
    <row r="152" spans="1:5">
      <c r="A152" s="438">
        <v>39479</v>
      </c>
      <c r="B152" s="423">
        <v>36.091774425287397</v>
      </c>
      <c r="C152" s="423">
        <v>43.122516393442524</v>
      </c>
      <c r="D152" s="423">
        <v>37.195290229885103</v>
      </c>
      <c r="E152" s="423">
        <v>49.16</v>
      </c>
    </row>
    <row r="153" spans="1:5">
      <c r="A153" s="875">
        <v>39508</v>
      </c>
      <c r="B153" s="876">
        <v>27.832006729475101</v>
      </c>
      <c r="C153" s="876">
        <v>43.122516393442524</v>
      </c>
      <c r="D153" s="876">
        <v>29.967846567967801</v>
      </c>
      <c r="E153" s="876">
        <v>49.16</v>
      </c>
    </row>
    <row r="154" spans="1:5">
      <c r="A154" s="438">
        <v>39539</v>
      </c>
      <c r="B154" s="423">
        <v>35.498284722222202</v>
      </c>
      <c r="C154" s="423">
        <v>43.122516393442524</v>
      </c>
      <c r="D154" s="423">
        <v>40.841456944444403</v>
      </c>
      <c r="E154" s="423">
        <v>49.16</v>
      </c>
    </row>
    <row r="155" spans="1:5">
      <c r="A155" s="875">
        <v>39569</v>
      </c>
      <c r="B155" s="876">
        <v>24.026872311827901</v>
      </c>
      <c r="C155" s="876">
        <v>43.122516393442524</v>
      </c>
      <c r="D155" s="876">
        <v>35.729311827956998</v>
      </c>
      <c r="E155" s="876">
        <v>49.16</v>
      </c>
    </row>
    <row r="156" spans="1:5">
      <c r="A156" s="438">
        <v>39600</v>
      </c>
      <c r="B156" s="423">
        <v>37.906512499999998</v>
      </c>
      <c r="C156" s="423">
        <v>43.122516393442524</v>
      </c>
      <c r="D156" s="423">
        <v>53.976923611111097</v>
      </c>
      <c r="E156" s="423">
        <v>49.16</v>
      </c>
    </row>
    <row r="157" spans="1:5">
      <c r="A157" s="875">
        <v>39630</v>
      </c>
      <c r="B157" s="876">
        <v>42.005407258064515</v>
      </c>
      <c r="C157" s="876">
        <v>43.122516393442524</v>
      </c>
      <c r="D157" s="876">
        <v>55.838919354838673</v>
      </c>
      <c r="E157" s="876">
        <v>49.16</v>
      </c>
    </row>
    <row r="158" spans="1:5">
      <c r="A158" s="438">
        <v>39661</v>
      </c>
      <c r="B158" s="423">
        <v>51.330344086021512</v>
      </c>
      <c r="C158" s="423">
        <v>43.122516393442524</v>
      </c>
      <c r="D158" s="423">
        <v>61.370318548387004</v>
      </c>
      <c r="E158" s="423">
        <v>49.16</v>
      </c>
    </row>
    <row r="159" spans="1:5">
      <c r="A159" s="875">
        <v>39692</v>
      </c>
      <c r="B159" s="876">
        <v>64.450405555555548</v>
      </c>
      <c r="C159" s="876">
        <v>43.122516393442524</v>
      </c>
      <c r="D159" s="876">
        <v>70.211398611111065</v>
      </c>
      <c r="E159" s="876">
        <v>49.16</v>
      </c>
    </row>
    <row r="160" spans="1:5">
      <c r="A160" s="438">
        <v>39722</v>
      </c>
      <c r="B160" s="423">
        <v>55.487273825503436</v>
      </c>
      <c r="C160" s="423">
        <v>43.122516393442524</v>
      </c>
      <c r="D160" s="423">
        <v>59.453126174496688</v>
      </c>
      <c r="E160" s="423">
        <v>49.16</v>
      </c>
    </row>
    <row r="161" spans="1:5">
      <c r="A161" s="875">
        <v>39753</v>
      </c>
      <c r="B161" s="876">
        <v>51.861544444444462</v>
      </c>
      <c r="C161" s="876">
        <v>43.122516393442524</v>
      </c>
      <c r="D161" s="876">
        <v>53.537877777777773</v>
      </c>
      <c r="E161" s="876">
        <v>49.16</v>
      </c>
    </row>
    <row r="162" spans="1:5">
      <c r="A162" s="438">
        <v>39783</v>
      </c>
      <c r="B162" s="423">
        <v>47.850502688172</v>
      </c>
      <c r="C162" s="423">
        <v>43.122516393442524</v>
      </c>
      <c r="D162" s="423">
        <v>48.180966397849446</v>
      </c>
      <c r="E162" s="423">
        <v>49.16</v>
      </c>
    </row>
    <row r="163" spans="1:5">
      <c r="A163" s="875">
        <v>39814</v>
      </c>
      <c r="B163" s="876">
        <v>44.440559139784938</v>
      </c>
      <c r="C163" s="876">
        <v>37.220223059360762</v>
      </c>
      <c r="D163" s="876">
        <v>44.141079301075315</v>
      </c>
      <c r="E163" s="876">
        <v>39.280906278538801</v>
      </c>
    </row>
    <row r="164" spans="1:5">
      <c r="A164" s="438">
        <v>39845</v>
      </c>
      <c r="B164" s="423">
        <v>41.439947916666675</v>
      </c>
      <c r="C164" s="423">
        <v>37.220223059360762</v>
      </c>
      <c r="D164" s="423">
        <v>41.714282738095214</v>
      </c>
      <c r="E164" s="423">
        <v>39.280906278538801</v>
      </c>
    </row>
    <row r="165" spans="1:5">
      <c r="A165" s="875">
        <v>39873</v>
      </c>
      <c r="B165" s="876">
        <v>39.225316285329718</v>
      </c>
      <c r="C165" s="876">
        <v>37.220223059360762</v>
      </c>
      <c r="D165" s="876">
        <v>39.53348721399729</v>
      </c>
      <c r="E165" s="876">
        <v>39.280906278538801</v>
      </c>
    </row>
    <row r="166" spans="1:5">
      <c r="A166" s="438">
        <v>39904</v>
      </c>
      <c r="B166" s="423">
        <v>37.067875000000029</v>
      </c>
      <c r="C166" s="423">
        <v>37.220223059360762</v>
      </c>
      <c r="D166" s="423">
        <v>37.561104166666638</v>
      </c>
      <c r="E166" s="423">
        <v>39.280906278538801</v>
      </c>
    </row>
    <row r="167" spans="1:5">
      <c r="A167" s="875">
        <v>39934</v>
      </c>
      <c r="B167" s="876">
        <v>34.568169354838695</v>
      </c>
      <c r="C167" s="876">
        <v>37.220223059360762</v>
      </c>
      <c r="D167" s="876">
        <v>35.045010752688135</v>
      </c>
      <c r="E167" s="876">
        <v>39.280906278538801</v>
      </c>
    </row>
    <row r="168" spans="1:5">
      <c r="A168" s="438">
        <v>39965</v>
      </c>
      <c r="B168" s="423">
        <v>38.480359722222275</v>
      </c>
      <c r="C168" s="423">
        <v>37.220223059360762</v>
      </c>
      <c r="D168" s="423">
        <v>38.57046388888898</v>
      </c>
      <c r="E168" s="423">
        <v>39.280906278538801</v>
      </c>
    </row>
    <row r="169" spans="1:5">
      <c r="A169" s="875">
        <v>39995</v>
      </c>
      <c r="B169" s="876">
        <v>35.688538978494599</v>
      </c>
      <c r="C169" s="876">
        <v>37.220223059360762</v>
      </c>
      <c r="D169" s="876">
        <v>36.722971774193574</v>
      </c>
      <c r="E169" s="876">
        <v>39.280906278538801</v>
      </c>
    </row>
    <row r="170" spans="1:5">
      <c r="A170" s="438">
        <v>40026</v>
      </c>
      <c r="B170" s="423">
        <v>33.104176075268796</v>
      </c>
      <c r="C170" s="423">
        <v>37.220223059360762</v>
      </c>
      <c r="D170" s="423">
        <v>37.655716397849524</v>
      </c>
      <c r="E170" s="423">
        <v>39.280906278538801</v>
      </c>
    </row>
    <row r="171" spans="1:5">
      <c r="A171" s="875">
        <v>40057</v>
      </c>
      <c r="B171" s="876">
        <v>29.18555694444446</v>
      </c>
      <c r="C171" s="876">
        <v>37.220223059360762</v>
      </c>
      <c r="D171" s="876">
        <v>36.253752777777798</v>
      </c>
      <c r="E171" s="876">
        <v>39.280906278538801</v>
      </c>
    </row>
    <row r="172" spans="1:5">
      <c r="A172" s="438">
        <v>40087</v>
      </c>
      <c r="B172" s="423">
        <v>34.8037020134228</v>
      </c>
      <c r="C172" s="423">
        <v>37.220223059360762</v>
      </c>
      <c r="D172" s="423">
        <v>36.161306040268457</v>
      </c>
      <c r="E172" s="423">
        <v>39.280906278538801</v>
      </c>
    </row>
    <row r="173" spans="1:5">
      <c r="A173" s="875">
        <v>40118</v>
      </c>
      <c r="B173" s="876">
        <v>37.586724999999973</v>
      </c>
      <c r="C173" s="876">
        <v>37.220223059360762</v>
      </c>
      <c r="D173" s="876">
        <v>37.903154166666631</v>
      </c>
      <c r="E173" s="876">
        <v>39.280906278538801</v>
      </c>
    </row>
    <row r="174" spans="1:5">
      <c r="A174" s="438">
        <v>40148</v>
      </c>
      <c r="B174" s="423">
        <v>41.254428763440814</v>
      </c>
      <c r="C174" s="423">
        <v>37.220223059360762</v>
      </c>
      <c r="D174" s="423">
        <v>50.128077956989252</v>
      </c>
      <c r="E174" s="423">
        <v>39.280906278538801</v>
      </c>
    </row>
    <row r="175" spans="1:5">
      <c r="A175" s="875">
        <v>40179</v>
      </c>
      <c r="B175" s="876">
        <v>54.437047043010693</v>
      </c>
      <c r="C175" s="876">
        <v>50.591000000000001</v>
      </c>
      <c r="D175" s="876">
        <v>67.095530913978521</v>
      </c>
      <c r="E175" s="876">
        <v>54.253</v>
      </c>
    </row>
    <row r="176" spans="1:5">
      <c r="A176" s="438">
        <v>40210</v>
      </c>
      <c r="B176" s="423">
        <v>68.466302083333346</v>
      </c>
      <c r="C176" s="423">
        <v>50.591000000000001</v>
      </c>
      <c r="D176" s="423">
        <v>93.15261160714293</v>
      </c>
      <c r="E176" s="423">
        <v>54.253</v>
      </c>
    </row>
    <row r="177" spans="1:5">
      <c r="A177" s="875">
        <v>40238</v>
      </c>
      <c r="B177" s="876">
        <v>55.472410497981194</v>
      </c>
      <c r="C177" s="876">
        <v>50.591000000000001</v>
      </c>
      <c r="D177" s="876">
        <v>57.442877523553193</v>
      </c>
      <c r="E177" s="876">
        <v>54.253</v>
      </c>
    </row>
    <row r="178" spans="1:5">
      <c r="A178" s="438">
        <v>40269</v>
      </c>
      <c r="B178" s="423">
        <v>45.326011111111086</v>
      </c>
      <c r="C178" s="423">
        <v>50.591000000000001</v>
      </c>
      <c r="D178" s="423">
        <v>42.777156944444471</v>
      </c>
      <c r="E178" s="423">
        <v>54.253</v>
      </c>
    </row>
    <row r="179" spans="1:5">
      <c r="A179" s="875">
        <v>40299</v>
      </c>
      <c r="B179" s="876">
        <v>41.49041935483875</v>
      </c>
      <c r="C179" s="876">
        <v>50.591000000000001</v>
      </c>
      <c r="D179" s="876">
        <v>38.286600806451638</v>
      </c>
      <c r="E179" s="876">
        <v>54.253</v>
      </c>
    </row>
    <row r="180" spans="1:5">
      <c r="A180" s="438">
        <v>40330</v>
      </c>
      <c r="B180" s="423">
        <v>42.83711666666661</v>
      </c>
      <c r="C180" s="423">
        <v>50.591000000000001</v>
      </c>
      <c r="D180" s="423">
        <v>40.154404166666623</v>
      </c>
      <c r="E180" s="423">
        <v>54.253</v>
      </c>
    </row>
    <row r="181" spans="1:5">
      <c r="A181" s="875">
        <v>40360</v>
      </c>
      <c r="B181" s="876">
        <v>43.173196236559136</v>
      </c>
      <c r="C181" s="876">
        <v>50.591000000000001</v>
      </c>
      <c r="D181" s="876">
        <v>43.533944892473066</v>
      </c>
      <c r="E181" s="876">
        <v>54.253</v>
      </c>
    </row>
    <row r="182" spans="1:5">
      <c r="A182" s="438">
        <v>40391</v>
      </c>
      <c r="B182" s="423">
        <v>40.40579166666673</v>
      </c>
      <c r="C182" s="423">
        <v>50.591000000000001</v>
      </c>
      <c r="D182" s="423">
        <v>40.710752688172121</v>
      </c>
      <c r="E182" s="423">
        <v>54.253</v>
      </c>
    </row>
    <row r="183" spans="1:5">
      <c r="A183" s="875">
        <v>40422</v>
      </c>
      <c r="B183" s="876">
        <v>45.582999999999998</v>
      </c>
      <c r="C183" s="876">
        <v>50.591000000000001</v>
      </c>
      <c r="D183" s="876">
        <v>47.273000000000003</v>
      </c>
      <c r="E183" s="876">
        <v>54.253</v>
      </c>
    </row>
    <row r="184" spans="1:5">
      <c r="A184" s="438">
        <v>40452</v>
      </c>
      <c r="B184" s="423">
        <v>46.015000000000001</v>
      </c>
      <c r="C184" s="423">
        <v>50.591000000000001</v>
      </c>
      <c r="D184" s="423">
        <v>47.557000000000002</v>
      </c>
      <c r="E184" s="423">
        <v>54.253</v>
      </c>
    </row>
    <row r="185" spans="1:5">
      <c r="A185" s="875">
        <v>40483</v>
      </c>
      <c r="B185" s="876">
        <v>51.063000000000002</v>
      </c>
      <c r="C185" s="876">
        <v>50.591000000000001</v>
      </c>
      <c r="D185" s="876">
        <v>52.432000000000002</v>
      </c>
      <c r="E185" s="876">
        <v>54.253</v>
      </c>
    </row>
    <row r="186" spans="1:5">
      <c r="A186" s="438">
        <v>40513</v>
      </c>
      <c r="B186" s="423">
        <v>74.001999999999995</v>
      </c>
      <c r="C186" s="423">
        <v>50.591000000000001</v>
      </c>
      <c r="D186" s="423">
        <v>83.290999999999997</v>
      </c>
      <c r="E186" s="423">
        <v>54.253</v>
      </c>
    </row>
    <row r="187" spans="1:5">
      <c r="A187" s="875">
        <v>40544</v>
      </c>
      <c r="B187" s="876">
        <v>62.122889784946281</v>
      </c>
      <c r="C187" s="876">
        <v>42.35</v>
      </c>
      <c r="D187" s="876">
        <v>62.213999999999999</v>
      </c>
      <c r="E187" s="876">
        <v>43.080861415525035</v>
      </c>
    </row>
    <row r="188" spans="1:5">
      <c r="A188" s="438">
        <v>40575</v>
      </c>
      <c r="B188" s="423">
        <v>56.704691964285757</v>
      </c>
      <c r="C188" s="423">
        <v>42.35</v>
      </c>
      <c r="D188" s="423">
        <v>56.759</v>
      </c>
      <c r="E188" s="423">
        <v>43.080861415525035</v>
      </c>
    </row>
    <row r="189" spans="1:5">
      <c r="A189" s="875">
        <v>40603</v>
      </c>
      <c r="B189" s="876">
        <v>57.064344549125153</v>
      </c>
      <c r="C189" s="876">
        <v>42.35</v>
      </c>
      <c r="D189" s="876">
        <v>56.241</v>
      </c>
      <c r="E189" s="876">
        <v>43.080861415525</v>
      </c>
    </row>
    <row r="190" spans="1:5">
      <c r="A190" s="438">
        <v>40634</v>
      </c>
      <c r="B190" s="423">
        <v>48.230777777777696</v>
      </c>
      <c r="C190" s="423">
        <v>42.35</v>
      </c>
      <c r="D190" s="423">
        <v>48.013999999999996</v>
      </c>
      <c r="E190" s="423">
        <v>43.080861415525</v>
      </c>
    </row>
    <row r="191" spans="1:5">
      <c r="A191" s="875">
        <v>40664</v>
      </c>
      <c r="B191" s="876">
        <v>48.835272849462321</v>
      </c>
      <c r="C191" s="876">
        <v>42.35</v>
      </c>
      <c r="D191" s="876">
        <v>48.814</v>
      </c>
      <c r="E191" s="876">
        <v>43.080861415525</v>
      </c>
    </row>
    <row r="192" spans="1:5">
      <c r="A192" s="438">
        <v>40695</v>
      </c>
      <c r="B192" s="423">
        <v>44.047054166666626</v>
      </c>
      <c r="C192" s="423">
        <v>42.35</v>
      </c>
      <c r="D192" s="423">
        <v>44.184551388888863</v>
      </c>
      <c r="E192" s="423">
        <v>43.080861415525</v>
      </c>
    </row>
    <row r="193" spans="1:7">
      <c r="A193" s="875">
        <v>40725</v>
      </c>
      <c r="B193" s="876">
        <v>35.418776881720447</v>
      </c>
      <c r="C193" s="876">
        <v>42.35</v>
      </c>
      <c r="D193" s="876">
        <v>36.33114784946234</v>
      </c>
      <c r="E193" s="876">
        <v>43.080861415525</v>
      </c>
    </row>
    <row r="194" spans="1:7">
      <c r="A194" s="438">
        <v>40756</v>
      </c>
      <c r="B194" s="423">
        <v>36.802147849462315</v>
      </c>
      <c r="C194" s="423">
        <v>42.35</v>
      </c>
      <c r="D194" s="423">
        <v>38.623182795698909</v>
      </c>
      <c r="E194" s="423">
        <v>43.080861415525</v>
      </c>
    </row>
    <row r="195" spans="1:7">
      <c r="A195" s="875">
        <v>40787</v>
      </c>
      <c r="B195" s="876">
        <v>26.398544444444475</v>
      </c>
      <c r="C195" s="876">
        <v>42.35</v>
      </c>
      <c r="D195" s="876">
        <v>29.297772222222221</v>
      </c>
      <c r="E195" s="876">
        <v>43.080861415525</v>
      </c>
    </row>
    <row r="196" spans="1:7">
      <c r="A196" s="438">
        <v>40817</v>
      </c>
      <c r="B196" s="423">
        <v>25.462559731543642</v>
      </c>
      <c r="C196" s="423">
        <v>42.35</v>
      </c>
      <c r="D196" s="423">
        <v>27.778970469798686</v>
      </c>
      <c r="E196" s="423">
        <v>43.080861415525</v>
      </c>
    </row>
    <row r="197" spans="1:7">
      <c r="A197" s="875">
        <v>40848</v>
      </c>
      <c r="B197" s="876">
        <v>37.618000000000002</v>
      </c>
      <c r="C197" s="876">
        <v>42.35</v>
      </c>
      <c r="D197" s="876">
        <v>39.745065277777819</v>
      </c>
      <c r="E197" s="876">
        <v>43.080861415525</v>
      </c>
    </row>
    <row r="198" spans="1:7">
      <c r="A198" s="438">
        <v>40878</v>
      </c>
      <c r="B198" s="423">
        <v>30.43886693548388</v>
      </c>
      <c r="C198" s="423">
        <v>42.35</v>
      </c>
      <c r="D198" s="423">
        <v>29.97228763440857</v>
      </c>
      <c r="E198" s="423">
        <v>43.080861415525</v>
      </c>
    </row>
    <row r="199" spans="1:7">
      <c r="A199" s="875">
        <v>40909</v>
      </c>
      <c r="B199" s="876">
        <v>32.894999999999996</v>
      </c>
      <c r="C199" s="876">
        <v>27.222999999999999</v>
      </c>
      <c r="D199" s="876">
        <v>33.796413978494641</v>
      </c>
      <c r="E199" s="876">
        <v>28.193549294171277</v>
      </c>
    </row>
    <row r="200" spans="1:7">
      <c r="A200" s="438">
        <v>40940</v>
      </c>
      <c r="B200" s="423">
        <v>43.298000000000002</v>
      </c>
      <c r="C200" s="423">
        <v>27.222999999999999</v>
      </c>
      <c r="D200" s="423">
        <v>44.838087643678207</v>
      </c>
      <c r="E200" s="423">
        <v>28.193549294171277</v>
      </c>
    </row>
    <row r="201" spans="1:7">
      <c r="A201" s="875">
        <v>40969</v>
      </c>
      <c r="B201" s="876">
        <v>25.939999999999998</v>
      </c>
      <c r="C201" s="876">
        <v>27.222999999999999</v>
      </c>
      <c r="D201" s="876">
        <v>25.774480484522208</v>
      </c>
      <c r="E201" s="876">
        <v>28.193549294171277</v>
      </c>
    </row>
    <row r="202" spans="1:7">
      <c r="A202" s="438">
        <v>41000</v>
      </c>
      <c r="B202" s="423">
        <v>28.105</v>
      </c>
      <c r="C202" s="423">
        <v>27.222999999999999</v>
      </c>
      <c r="D202" s="423">
        <v>27.931470833333329</v>
      </c>
      <c r="E202" s="423">
        <v>28.193549294171277</v>
      </c>
      <c r="G202" s="322"/>
    </row>
    <row r="203" spans="1:7">
      <c r="A203" s="875">
        <v>41030</v>
      </c>
      <c r="B203" s="876">
        <v>25.611999999999998</v>
      </c>
      <c r="C203" s="876">
        <v>27.222999999999999</v>
      </c>
      <c r="D203" s="876">
        <v>26.959538978494628</v>
      </c>
      <c r="E203" s="876">
        <v>28.193549294171277</v>
      </c>
      <c r="G203" s="322"/>
    </row>
    <row r="204" spans="1:7">
      <c r="A204" s="438">
        <v>41061</v>
      </c>
      <c r="B204" s="423">
        <v>22.259</v>
      </c>
      <c r="C204" s="423">
        <v>27.222999999999999</v>
      </c>
      <c r="D204" s="423">
        <v>24.138880555555531</v>
      </c>
      <c r="E204" s="423">
        <v>28.193549294171277</v>
      </c>
      <c r="G204" s="322"/>
    </row>
    <row r="205" spans="1:7">
      <c r="A205" s="875">
        <v>41091</v>
      </c>
      <c r="B205" s="876">
        <v>11.791</v>
      </c>
      <c r="C205" s="876">
        <v>27.222999999999999</v>
      </c>
      <c r="D205" s="876">
        <v>11.503592741935503</v>
      </c>
      <c r="E205" s="876">
        <v>28.193549294171277</v>
      </c>
      <c r="G205" s="322"/>
    </row>
    <row r="206" spans="1:7">
      <c r="A206" s="438">
        <v>41122</v>
      </c>
      <c r="B206" s="423">
        <v>19.489999999999998</v>
      </c>
      <c r="C206" s="423">
        <v>27.222999999999999</v>
      </c>
      <c r="D206" s="423">
        <v>22.361455645161307</v>
      </c>
      <c r="E206" s="423">
        <v>28.193549294171277</v>
      </c>
      <c r="G206" s="322"/>
    </row>
    <row r="207" spans="1:7">
      <c r="A207" s="875">
        <v>41153</v>
      </c>
      <c r="B207" s="876">
        <v>21.533999999999999</v>
      </c>
      <c r="C207" s="876">
        <v>27.222999999999999</v>
      </c>
      <c r="D207" s="876">
        <v>25.024276388888843</v>
      </c>
      <c r="E207" s="876">
        <v>28.193549294171277</v>
      </c>
      <c r="G207" s="322"/>
    </row>
    <row r="208" spans="1:7">
      <c r="A208" s="438">
        <v>41183</v>
      </c>
      <c r="B208" s="423">
        <v>29.936</v>
      </c>
      <c r="C208" s="423">
        <v>27.222999999999999</v>
      </c>
      <c r="D208" s="423">
        <v>29.876370469798665</v>
      </c>
      <c r="E208" s="423">
        <v>28.193549294171277</v>
      </c>
      <c r="G208" s="322"/>
    </row>
    <row r="209" spans="1:7">
      <c r="A209" s="875">
        <v>41214</v>
      </c>
      <c r="B209" s="876">
        <v>29.434000000000001</v>
      </c>
      <c r="C209" s="876">
        <v>27.222999999999999</v>
      </c>
      <c r="D209" s="876">
        <v>29.031565277777823</v>
      </c>
      <c r="E209" s="876">
        <v>28.193549294171277</v>
      </c>
      <c r="G209" s="322"/>
    </row>
    <row r="210" spans="1:7">
      <c r="A210" s="438">
        <v>41244</v>
      </c>
      <c r="B210" s="423">
        <v>37.170999999999999</v>
      </c>
      <c r="C210" s="423">
        <v>27.222999999999999</v>
      </c>
      <c r="D210" s="423">
        <v>37.940334677419358</v>
      </c>
      <c r="E210" s="423">
        <v>28.193549294171277</v>
      </c>
      <c r="G210" s="322"/>
    </row>
    <row r="211" spans="1:7">
      <c r="A211" s="875">
        <v>41275</v>
      </c>
      <c r="B211" s="876">
        <v>35.707000000000001</v>
      </c>
      <c r="C211" s="876">
        <v>32.902000000000001</v>
      </c>
      <c r="D211" s="876">
        <v>36.149000000000001</v>
      </c>
      <c r="E211" s="876">
        <v>34.076999999999998</v>
      </c>
      <c r="G211" s="322"/>
    </row>
    <row r="212" spans="1:7">
      <c r="A212" s="438">
        <v>41306</v>
      </c>
      <c r="B212" s="423">
        <v>33.801000000000002</v>
      </c>
      <c r="C212" s="423">
        <v>32.902000000000001</v>
      </c>
      <c r="D212" s="423">
        <v>33.591999999999999</v>
      </c>
      <c r="E212" s="423">
        <v>34.076999999999998</v>
      </c>
      <c r="G212" s="322"/>
    </row>
    <row r="213" spans="1:7">
      <c r="A213" s="875">
        <v>41334</v>
      </c>
      <c r="B213" s="876">
        <v>37.44</v>
      </c>
      <c r="C213" s="876">
        <v>32.902000000000001</v>
      </c>
      <c r="D213" s="876">
        <v>37.131</v>
      </c>
      <c r="E213" s="876">
        <v>34.076999999999998</v>
      </c>
      <c r="G213" s="322"/>
    </row>
    <row r="214" spans="1:7">
      <c r="A214" s="438">
        <v>41365</v>
      </c>
      <c r="B214" s="423">
        <v>38.666000000000004</v>
      </c>
      <c r="C214" s="423">
        <v>32.902000000000001</v>
      </c>
      <c r="D214" s="423">
        <v>36.97</v>
      </c>
      <c r="E214" s="423">
        <v>34.076999999999998</v>
      </c>
      <c r="G214" s="322"/>
    </row>
    <row r="215" spans="1:7">
      <c r="A215" s="875">
        <v>41395</v>
      </c>
      <c r="B215" s="876">
        <v>31.598000000000003</v>
      </c>
      <c r="C215" s="876">
        <v>32.902000000000001</v>
      </c>
      <c r="D215" s="876">
        <v>31.589134408602128</v>
      </c>
      <c r="E215" s="876">
        <v>34.076999999999998</v>
      </c>
      <c r="G215" s="322"/>
    </row>
    <row r="216" spans="1:7">
      <c r="A216" s="438">
        <v>41426</v>
      </c>
      <c r="B216" s="423">
        <v>29</v>
      </c>
      <c r="C216" s="423">
        <v>32.902000000000001</v>
      </c>
      <c r="D216" s="423">
        <v>29.634926388888893</v>
      </c>
      <c r="E216" s="423">
        <v>34.076999999999998</v>
      </c>
      <c r="G216" s="322"/>
    </row>
    <row r="217" spans="1:7">
      <c r="A217" s="875">
        <v>41456</v>
      </c>
      <c r="B217" s="876">
        <v>29.262</v>
      </c>
      <c r="C217" s="876">
        <v>32.902000000000001</v>
      </c>
      <c r="D217" s="876">
        <v>29.613944892473107</v>
      </c>
      <c r="E217" s="876">
        <v>34.076999999999998</v>
      </c>
      <c r="G217" s="322"/>
    </row>
    <row r="218" spans="1:7">
      <c r="A218" s="438">
        <v>41487</v>
      </c>
      <c r="B218" s="423">
        <v>30.79548252688172</v>
      </c>
      <c r="C218" s="423">
        <v>32.902000000000001</v>
      </c>
      <c r="D218" s="423">
        <v>35.124474462365612</v>
      </c>
      <c r="E218" s="423">
        <v>34.076999999999998</v>
      </c>
      <c r="G218" s="322"/>
    </row>
    <row r="219" spans="1:7">
      <c r="A219" s="875">
        <v>41518</v>
      </c>
      <c r="B219" s="876">
        <v>33.346023611111093</v>
      </c>
      <c r="C219" s="876">
        <v>32.902000000000001</v>
      </c>
      <c r="D219" s="876">
        <v>39.664000000000001</v>
      </c>
      <c r="E219" s="876">
        <v>34.076999999999998</v>
      </c>
      <c r="G219" s="322"/>
    </row>
    <row r="220" spans="1:7">
      <c r="A220" s="438">
        <v>41548</v>
      </c>
      <c r="B220" s="423">
        <v>33.513999999999996</v>
      </c>
      <c r="C220" s="423">
        <v>32.902000000000001</v>
      </c>
      <c r="D220" s="423">
        <v>36.920999999999999</v>
      </c>
      <c r="E220" s="423">
        <v>34.076999999999998</v>
      </c>
      <c r="G220" s="322"/>
    </row>
    <row r="221" spans="1:7">
      <c r="A221" s="875">
        <v>41579</v>
      </c>
      <c r="B221" s="876">
        <v>32.588999999999999</v>
      </c>
      <c r="C221" s="876">
        <v>32.902000000000001</v>
      </c>
      <c r="D221" s="876">
        <v>33.125</v>
      </c>
      <c r="E221" s="876">
        <v>34.076999999999998</v>
      </c>
      <c r="G221" s="322"/>
    </row>
    <row r="222" spans="1:7">
      <c r="A222" s="438">
        <v>41609</v>
      </c>
      <c r="B222" s="423">
        <v>29.261000000000003</v>
      </c>
      <c r="C222" s="423">
        <v>32.902000000000001</v>
      </c>
      <c r="D222" s="423">
        <v>29.46</v>
      </c>
      <c r="E222" s="423">
        <v>34.076999999999998</v>
      </c>
      <c r="G222" s="322"/>
    </row>
    <row r="223" spans="1:7">
      <c r="A223" s="875">
        <v>41640</v>
      </c>
      <c r="B223" s="876">
        <v>29.687147849462399</v>
      </c>
      <c r="C223" s="876">
        <v>26.947090296803601</v>
      </c>
      <c r="D223" s="876">
        <v>29.432647849462398</v>
      </c>
      <c r="E223" s="876">
        <v>28.779102397260399</v>
      </c>
      <c r="G223" s="322"/>
    </row>
    <row r="224" spans="1:7">
      <c r="A224" s="438">
        <v>41671</v>
      </c>
      <c r="B224" s="423">
        <v>26.798394345238101</v>
      </c>
      <c r="C224" s="615">
        <v>26.947090296803601</v>
      </c>
      <c r="D224" s="423">
        <v>26.717505952381</v>
      </c>
      <c r="E224" s="423">
        <v>28.779102397260399</v>
      </c>
      <c r="G224" s="322"/>
    </row>
    <row r="225" spans="1:8">
      <c r="A225" s="875">
        <v>41699</v>
      </c>
      <c r="B225" s="876">
        <v>23.7122974427995</v>
      </c>
      <c r="C225" s="876">
        <v>26.947090296803601</v>
      </c>
      <c r="D225" s="876">
        <v>23.529479138627199</v>
      </c>
      <c r="E225" s="876">
        <v>28.779102397260399</v>
      </c>
      <c r="G225" s="322"/>
    </row>
    <row r="226" spans="1:8">
      <c r="A226" s="438">
        <v>41730</v>
      </c>
      <c r="B226" s="423">
        <v>23.067833333333301</v>
      </c>
      <c r="C226" s="615">
        <v>26.947090296803601</v>
      </c>
      <c r="D226" s="423">
        <v>24.558445833333401</v>
      </c>
      <c r="E226" s="423">
        <v>28.779102397260399</v>
      </c>
      <c r="G226" s="322"/>
    </row>
    <row r="227" spans="1:8">
      <c r="A227" s="875">
        <v>41760</v>
      </c>
      <c r="B227" s="876">
        <v>23.755002688172102</v>
      </c>
      <c r="C227" s="876">
        <v>26.947090296803601</v>
      </c>
      <c r="D227" s="876">
        <v>31.7085215053763</v>
      </c>
      <c r="E227" s="876">
        <v>28.779102397260399</v>
      </c>
      <c r="G227" s="322"/>
    </row>
    <row r="228" spans="1:8">
      <c r="A228" s="438">
        <v>41791</v>
      </c>
      <c r="B228" s="423">
        <v>22.907556944444401</v>
      </c>
      <c r="C228" s="615">
        <v>26.947090296803601</v>
      </c>
      <c r="D228" s="423">
        <v>29.3528972222222</v>
      </c>
      <c r="E228" s="423">
        <v>28.779102397260399</v>
      </c>
      <c r="G228" s="322"/>
    </row>
    <row r="229" spans="1:8">
      <c r="A229" s="875">
        <v>41821</v>
      </c>
      <c r="B229" s="876">
        <v>26.3295994623656</v>
      </c>
      <c r="C229" s="876">
        <v>26.947090296803601</v>
      </c>
      <c r="D229" s="876">
        <v>27.4682043010753</v>
      </c>
      <c r="E229" s="876">
        <v>28.779102397260399</v>
      </c>
      <c r="G229" s="322"/>
      <c r="H229" s="322"/>
    </row>
    <row r="230" spans="1:8">
      <c r="A230" s="438">
        <v>41852</v>
      </c>
      <c r="B230" s="423">
        <v>29.469150537634398</v>
      </c>
      <c r="C230" s="615">
        <v>26.947090296803601</v>
      </c>
      <c r="D230" s="423">
        <v>31.7490685483871</v>
      </c>
      <c r="E230" s="423">
        <v>28.779102397260399</v>
      </c>
      <c r="G230" s="322"/>
      <c r="H230" s="322"/>
    </row>
    <row r="231" spans="1:8">
      <c r="A231" s="875">
        <v>41883</v>
      </c>
      <c r="B231" s="876">
        <v>32.108199999999997</v>
      </c>
      <c r="C231" s="876">
        <v>26.947090296803601</v>
      </c>
      <c r="D231" s="876">
        <v>33.534351388888901</v>
      </c>
      <c r="E231" s="876">
        <v>28.779102397260399</v>
      </c>
      <c r="G231" s="322"/>
      <c r="H231" s="322"/>
    </row>
    <row r="232" spans="1:8">
      <c r="A232" s="438">
        <v>41913</v>
      </c>
      <c r="B232" s="423">
        <v>28.049565100671199</v>
      </c>
      <c r="C232" s="615">
        <v>26.947090296803601</v>
      </c>
      <c r="D232" s="423">
        <v>28.657786577181199</v>
      </c>
      <c r="E232" s="423">
        <v>28.779102397260399</v>
      </c>
      <c r="G232" s="322"/>
      <c r="H232" s="322"/>
    </row>
    <row r="233" spans="1:8">
      <c r="A233" s="875">
        <v>41944</v>
      </c>
      <c r="B233" s="876">
        <v>27.600556944444399</v>
      </c>
      <c r="C233" s="876">
        <v>26.947090296803601</v>
      </c>
      <c r="D233" s="876">
        <v>28.325776388888901</v>
      </c>
      <c r="E233" s="876">
        <v>28.779102397260399</v>
      </c>
      <c r="G233" s="322"/>
      <c r="H233" s="322"/>
    </row>
    <row r="234" spans="1:8">
      <c r="A234" s="438">
        <v>41974</v>
      </c>
      <c r="B234" s="423">
        <v>29.791681451612899</v>
      </c>
      <c r="C234" s="615">
        <v>26.947090296803601</v>
      </c>
      <c r="D234" s="423">
        <v>30.1292728494623</v>
      </c>
      <c r="E234" s="423">
        <v>28.779102397260399</v>
      </c>
      <c r="G234" s="322"/>
      <c r="H234" s="322"/>
    </row>
    <row r="235" spans="1:8">
      <c r="A235" s="875">
        <v>42005</v>
      </c>
      <c r="B235" s="876">
        <v>28.3425752688172</v>
      </c>
      <c r="C235" s="876">
        <v>19.682827080933176</v>
      </c>
      <c r="D235" s="876">
        <v>28.5309623655914</v>
      </c>
      <c r="E235" s="876">
        <v>20.647530221934208</v>
      </c>
      <c r="G235" s="322"/>
      <c r="H235" s="322"/>
    </row>
    <row r="236" spans="1:8">
      <c r="A236" s="438">
        <v>42036</v>
      </c>
      <c r="B236" s="423">
        <v>27.5543497023809</v>
      </c>
      <c r="C236" s="423">
        <v>19.682827080933176</v>
      </c>
      <c r="D236" s="423">
        <v>28.067400297619098</v>
      </c>
      <c r="E236" s="423">
        <v>20.647530221934208</v>
      </c>
      <c r="G236" s="322"/>
      <c r="H236" s="322"/>
    </row>
    <row r="237" spans="1:8">
      <c r="A237" s="875">
        <v>42064</v>
      </c>
      <c r="B237" s="876">
        <v>23.433</v>
      </c>
      <c r="C237" s="876">
        <v>19.682827080933176</v>
      </c>
      <c r="D237" s="876">
        <v>23.936</v>
      </c>
      <c r="E237" s="876">
        <v>20.647530221934208</v>
      </c>
      <c r="G237" s="322"/>
      <c r="H237" s="322"/>
    </row>
    <row r="238" spans="1:8">
      <c r="A238" s="438">
        <v>42095</v>
      </c>
      <c r="B238" s="423">
        <v>23.622</v>
      </c>
      <c r="C238" s="615">
        <v>19.682827080933176</v>
      </c>
      <c r="D238" s="423">
        <v>23.817</v>
      </c>
      <c r="E238" s="423">
        <v>20.647530221934208</v>
      </c>
      <c r="G238" s="322"/>
      <c r="H238" s="322"/>
    </row>
    <row r="239" spans="1:8">
      <c r="A239" s="875">
        <v>42125</v>
      </c>
      <c r="B239" s="876">
        <v>20.776</v>
      </c>
      <c r="C239" s="876">
        <v>19.682827080933176</v>
      </c>
      <c r="D239" s="876">
        <v>20.939</v>
      </c>
      <c r="E239" s="876">
        <v>20.647530221934208</v>
      </c>
      <c r="G239" s="322"/>
      <c r="H239" s="322"/>
    </row>
    <row r="240" spans="1:8">
      <c r="A240" s="438">
        <v>42156</v>
      </c>
      <c r="B240" s="683">
        <v>13.394</v>
      </c>
      <c r="C240" s="615">
        <v>19.682827080933176</v>
      </c>
      <c r="D240" s="683">
        <v>14.180999999999999</v>
      </c>
      <c r="E240" s="423">
        <v>20.647530221934208</v>
      </c>
      <c r="G240" s="322"/>
      <c r="H240" s="322"/>
    </row>
    <row r="241" spans="1:8">
      <c r="A241" s="875">
        <v>42186</v>
      </c>
      <c r="B241" s="876">
        <v>8.9489999999999998</v>
      </c>
      <c r="C241" s="876">
        <v>19.682827080933176</v>
      </c>
      <c r="D241" s="876">
        <v>8.4969999999999999</v>
      </c>
      <c r="E241" s="876">
        <v>20.647530221934208</v>
      </c>
      <c r="G241" s="322"/>
      <c r="H241" s="322"/>
    </row>
    <row r="242" spans="1:8">
      <c r="A242" s="438">
        <v>42217</v>
      </c>
      <c r="B242" s="683">
        <v>12.414</v>
      </c>
      <c r="C242" s="615">
        <v>19.682827080933176</v>
      </c>
      <c r="D242" s="683">
        <v>15.869</v>
      </c>
      <c r="E242" s="423">
        <v>20.647530221934208</v>
      </c>
    </row>
    <row r="243" spans="1:8">
      <c r="A243" s="875">
        <v>42248</v>
      </c>
      <c r="B243" s="876">
        <v>16.393000000000001</v>
      </c>
      <c r="C243" s="876">
        <v>19.682827080933176</v>
      </c>
      <c r="D243" s="876">
        <v>19.651</v>
      </c>
      <c r="E243" s="876">
        <v>20.647530221934208</v>
      </c>
    </row>
    <row r="244" spans="1:8">
      <c r="A244" s="438">
        <v>42278</v>
      </c>
      <c r="B244" s="683">
        <v>20.693999999999999</v>
      </c>
      <c r="C244" s="615">
        <v>19.682827080933176</v>
      </c>
      <c r="D244" s="683">
        <v>22.091000000000001</v>
      </c>
      <c r="E244" s="423">
        <v>20.647530221934208</v>
      </c>
    </row>
    <row r="245" spans="1:8">
      <c r="A245" s="875">
        <v>42309</v>
      </c>
      <c r="B245" s="876">
        <v>23.178999999999998</v>
      </c>
      <c r="C245" s="876">
        <v>19.682827080933176</v>
      </c>
      <c r="D245" s="876">
        <v>24.01</v>
      </c>
      <c r="E245" s="876">
        <v>20.647530221934208</v>
      </c>
    </row>
    <row r="246" spans="1:8">
      <c r="A246" s="438">
        <v>42339</v>
      </c>
      <c r="B246" s="683">
        <v>17.443000000000001</v>
      </c>
      <c r="C246" s="615">
        <v>19.682827080933176</v>
      </c>
      <c r="D246" s="683">
        <v>18.181000000000001</v>
      </c>
      <c r="E246" s="423">
        <v>20.647530221934208</v>
      </c>
    </row>
    <row r="247" spans="1:8">
      <c r="A247" s="875">
        <v>42370</v>
      </c>
      <c r="B247" s="876">
        <v>27.717000000000002</v>
      </c>
      <c r="C247" s="876">
        <v>25.539602150537632</v>
      </c>
      <c r="D247" s="876">
        <v>28.771000000000001</v>
      </c>
      <c r="E247" s="876">
        <v>27.747827956989244</v>
      </c>
      <c r="G247" s="322"/>
      <c r="H247" s="322"/>
    </row>
    <row r="248" spans="1:8">
      <c r="A248" s="438">
        <v>42401</v>
      </c>
      <c r="B248" s="423">
        <v>18.758000000000003</v>
      </c>
      <c r="C248" s="423">
        <v>25.539602150537632</v>
      </c>
      <c r="D248" s="423">
        <v>18.3</v>
      </c>
      <c r="E248" s="423">
        <v>27.747827956989244</v>
      </c>
      <c r="G248" s="322"/>
      <c r="H248" s="322"/>
    </row>
    <row r="249" spans="1:8">
      <c r="A249" s="875">
        <v>42430</v>
      </c>
      <c r="B249" s="876">
        <v>20.365000000000002</v>
      </c>
      <c r="C249" s="876">
        <v>25.539602150537632</v>
      </c>
      <c r="D249" s="876">
        <v>20.073</v>
      </c>
      <c r="E249" s="876">
        <v>27.747827956989244</v>
      </c>
      <c r="G249" s="322"/>
      <c r="H249" s="322"/>
    </row>
    <row r="250" spans="1:8">
      <c r="A250" s="438">
        <v>42461</v>
      </c>
      <c r="B250" s="423">
        <v>20.366</v>
      </c>
      <c r="C250" s="615">
        <v>25.539602150537632</v>
      </c>
      <c r="D250" s="423">
        <v>20.315000000000001</v>
      </c>
      <c r="E250" s="423">
        <v>27.747827956989244</v>
      </c>
      <c r="G250" s="322"/>
      <c r="H250" s="322"/>
    </row>
    <row r="251" spans="1:8">
      <c r="A251" s="875">
        <v>42491</v>
      </c>
      <c r="B251" s="876">
        <v>21.554000000000002</v>
      </c>
      <c r="C251" s="876">
        <v>25.539602150537632</v>
      </c>
      <c r="D251" s="876">
        <v>21.981000000000002</v>
      </c>
      <c r="E251" s="876">
        <v>27.747827956989244</v>
      </c>
      <c r="G251" s="322"/>
      <c r="H251" s="322"/>
    </row>
    <row r="252" spans="1:8">
      <c r="A252" s="438">
        <v>42522</v>
      </c>
      <c r="B252" s="683">
        <v>24.749000000000002</v>
      </c>
      <c r="C252" s="615">
        <v>25.539602150537632</v>
      </c>
      <c r="D252" s="683">
        <v>31.481999999999999</v>
      </c>
      <c r="E252" s="423">
        <v>27.747827956989244</v>
      </c>
      <c r="G252" s="322"/>
      <c r="H252" s="322"/>
    </row>
    <row r="253" spans="1:8">
      <c r="A253" s="875">
        <v>42552</v>
      </c>
      <c r="B253" s="876">
        <v>23.975000000000001</v>
      </c>
      <c r="C253" s="876">
        <v>25.539602150537632</v>
      </c>
      <c r="D253" s="876">
        <v>27.417000000000002</v>
      </c>
      <c r="E253" s="876">
        <v>27.747827956989244</v>
      </c>
      <c r="G253" s="322"/>
      <c r="H253" s="322"/>
    </row>
    <row r="254" spans="1:8">
      <c r="A254" s="438">
        <v>42583</v>
      </c>
      <c r="B254" s="683">
        <v>23.891999999999999</v>
      </c>
      <c r="C254" s="615">
        <v>25.539602150537632</v>
      </c>
      <c r="D254" s="683">
        <v>28.937000000000001</v>
      </c>
      <c r="E254" s="423">
        <v>27.747827956989244</v>
      </c>
    </row>
    <row r="255" spans="1:8">
      <c r="A255" s="875">
        <v>42614</v>
      </c>
      <c r="B255" s="876">
        <v>24.094999999999999</v>
      </c>
      <c r="C255" s="876">
        <v>25.539602150537632</v>
      </c>
      <c r="D255" s="876">
        <v>27.943000000000001</v>
      </c>
      <c r="E255" s="876">
        <v>27.747827956989244</v>
      </c>
    </row>
    <row r="256" spans="1:8">
      <c r="A256" s="438">
        <v>42644</v>
      </c>
      <c r="B256" s="683">
        <v>31.818000000000001</v>
      </c>
      <c r="C256" s="615">
        <v>25.539602150537632</v>
      </c>
      <c r="D256" s="683">
        <v>35.112000000000002</v>
      </c>
      <c r="E256" s="423">
        <v>27.747827956989244</v>
      </c>
    </row>
    <row r="257" spans="1:5">
      <c r="A257" s="875">
        <v>42675</v>
      </c>
      <c r="B257" s="876">
        <v>38.273000000000003</v>
      </c>
      <c r="C257" s="876">
        <v>25.539602150537632</v>
      </c>
      <c r="D257" s="876">
        <v>40.408000000000001</v>
      </c>
      <c r="E257" s="876">
        <v>27.747827956989244</v>
      </c>
    </row>
    <row r="258" spans="1:5">
      <c r="A258" s="438">
        <v>42705</v>
      </c>
      <c r="B258" s="423">
        <v>30.913225806451621</v>
      </c>
      <c r="C258" s="423">
        <v>25.539602150537632</v>
      </c>
      <c r="D258" s="423">
        <v>32.234935483870977</v>
      </c>
      <c r="E258" s="423">
        <v>27.747827956989244</v>
      </c>
    </row>
    <row r="259" spans="1:5">
      <c r="A259" s="875">
        <v>42736</v>
      </c>
      <c r="B259" s="876">
        <v>29.309580645161301</v>
      </c>
      <c r="C259" s="876">
        <v>27.593420920502101</v>
      </c>
      <c r="D259" s="876">
        <v>30.368641129032198</v>
      </c>
      <c r="E259" s="876">
        <v>29.584639832636</v>
      </c>
    </row>
    <row r="260" spans="1:5">
      <c r="A260" s="438">
        <v>42767</v>
      </c>
      <c r="B260" s="423">
        <v>30.581941964285701</v>
      </c>
      <c r="C260" s="423">
        <v>27.593420920502101</v>
      </c>
      <c r="D260" s="423">
        <v>31.358078869047599</v>
      </c>
      <c r="E260" s="423">
        <v>29.584639832636</v>
      </c>
    </row>
    <row r="261" spans="1:5">
      <c r="A261" s="875">
        <v>42795</v>
      </c>
      <c r="B261" s="876">
        <v>28.980468371467001</v>
      </c>
      <c r="C261" s="876">
        <v>27.593420920502101</v>
      </c>
      <c r="D261" s="876">
        <v>28.9752368775235</v>
      </c>
      <c r="E261" s="876">
        <v>29.584639832636</v>
      </c>
    </row>
    <row r="262" spans="1:5">
      <c r="A262" s="438">
        <v>42826</v>
      </c>
      <c r="B262" s="683">
        <v>28.0337888888889</v>
      </c>
      <c r="C262" s="683">
        <v>27.593420920502101</v>
      </c>
      <c r="D262" s="683">
        <v>27.690247222222201</v>
      </c>
      <c r="E262" s="683">
        <v>29.584639832636</v>
      </c>
    </row>
    <row r="263" spans="1:5">
      <c r="A263" s="875">
        <v>42856</v>
      </c>
      <c r="B263" s="876">
        <v>27.6030752688172</v>
      </c>
      <c r="C263" s="876">
        <v>27.593420920502101</v>
      </c>
      <c r="D263" s="876">
        <v>28.695626344086001</v>
      </c>
      <c r="E263" s="876">
        <v>29.584639832636</v>
      </c>
    </row>
    <row r="264" spans="1:5">
      <c r="A264" s="438">
        <v>42887</v>
      </c>
      <c r="B264" s="683">
        <v>24.020456944444401</v>
      </c>
      <c r="C264" s="683">
        <v>27.593420920502101</v>
      </c>
      <c r="D264" s="683">
        <v>26.387598611111098</v>
      </c>
      <c r="E264" s="683">
        <v>29.584639832636</v>
      </c>
    </row>
    <row r="265" spans="1:5">
      <c r="A265" s="875">
        <v>42917</v>
      </c>
      <c r="B265" s="876">
        <v>25.292858870967699</v>
      </c>
      <c r="C265" s="876">
        <v>27.593420920502101</v>
      </c>
      <c r="D265" s="876">
        <v>29.584956989247299</v>
      </c>
      <c r="E265" s="876">
        <v>29.584639832636</v>
      </c>
    </row>
    <row r="266" spans="1:5">
      <c r="A266" s="438">
        <v>42948</v>
      </c>
      <c r="B266" s="683">
        <v>26.3443373655915</v>
      </c>
      <c r="C266" s="683">
        <v>27.593420920502101</v>
      </c>
      <c r="D266" s="683">
        <v>32.113576612903202</v>
      </c>
      <c r="E266" s="683">
        <v>29.584639832636</v>
      </c>
    </row>
    <row r="268" spans="1:5">
      <c r="A268" s="439"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theme="0"/>
  </sheetPr>
  <dimension ref="A1:G78"/>
  <sheetViews>
    <sheetView showGridLines="0" zoomScaleNormal="100" workbookViewId="0">
      <pane ySplit="6" topLeftCell="A7" activePane="bottomLeft" state="frozen"/>
      <selection pane="bottomLeft" activeCell="C1" sqref="C1"/>
    </sheetView>
  </sheetViews>
  <sheetFormatPr defaultRowHeight="14.25"/>
  <cols>
    <col min="1" max="1" width="7.73046875" customWidth="1"/>
    <col min="2" max="5" width="16.73046875" customWidth="1"/>
  </cols>
  <sheetData>
    <row r="1" spans="1:7">
      <c r="A1" s="524" t="str">
        <f>IF(språk=lista[[#Headers],[Svenska]],"Innehåll",IF(språk=lista[[#Headers],[English]],"Contents","FEL"))</f>
        <v>Contents</v>
      </c>
    </row>
    <row r="3" spans="1:7" ht="39.75" customHeight="1">
      <c r="A3" s="1061" t="str">
        <f>IFERROR(INDEX(lista[],MATCH($A5,lista[ID],0),MATCH(språk,lista[#Headers],0)),"")</f>
        <v>Electricity spot prices, monthly average, by bidding area, from November 2011, nominal price, öre/kWh</v>
      </c>
      <c r="B3" s="1061"/>
      <c r="C3" s="1061"/>
      <c r="D3" s="1061"/>
      <c r="E3" s="1061"/>
    </row>
    <row r="4" spans="1:7" ht="15.75">
      <c r="A4" s="317"/>
    </row>
    <row r="5" spans="1:7" hidden="1">
      <c r="A5">
        <v>43</v>
      </c>
      <c r="B5" t="s">
        <v>647</v>
      </c>
      <c r="C5" t="s">
        <v>648</v>
      </c>
      <c r="D5" t="s">
        <v>649</v>
      </c>
      <c r="E5" t="s">
        <v>650</v>
      </c>
    </row>
    <row r="6" spans="1:7">
      <c r="A6" s="422"/>
      <c r="B6" s="413" t="str">
        <f>IFERROR(INDEX(_6.9[],MATCH(språk,_6.9[[id]:[id]],0),MATCH(B$5,_6.9[#Headers],0)),"")</f>
        <v>Monthly average SE1</v>
      </c>
      <c r="C6" s="413" t="str">
        <f>IFERROR(INDEX(_6.9[],MATCH(språk,_6.9[[id]:[id]],0),MATCH(C$5,_6.9[#Headers],0)),"")</f>
        <v>Monthly average SE2</v>
      </c>
      <c r="D6" s="413" t="str">
        <f>IFERROR(INDEX(_6.9[],MATCH(språk,_6.9[[id]:[id]],0),MATCH(D$5,_6.9[#Headers],0)),"")</f>
        <v>Monthly average SE3</v>
      </c>
      <c r="E6" s="413" t="str">
        <f>IFERROR(INDEX(_6.9[],MATCH(språk,_6.9[[id]:[id]],0),MATCH(E$5,_6.9[#Headers],0)),"")</f>
        <v>Monthly average SE4</v>
      </c>
      <c r="G6" s="534"/>
    </row>
    <row r="7" spans="1:7">
      <c r="A7" s="875">
        <v>40848</v>
      </c>
      <c r="B7" s="876">
        <v>38.003476388888878</v>
      </c>
      <c r="C7" s="876">
        <v>38.003476388888878</v>
      </c>
      <c r="D7" s="876">
        <v>39.745065277777819</v>
      </c>
      <c r="E7" s="876">
        <v>45.569000000000003</v>
      </c>
    </row>
    <row r="8" spans="1:7">
      <c r="A8" s="438">
        <v>40878</v>
      </c>
      <c r="B8" s="423">
        <v>29.969633064516096</v>
      </c>
      <c r="C8" s="423">
        <v>29.969633064516096</v>
      </c>
      <c r="D8" s="423">
        <v>29.97228763440857</v>
      </c>
      <c r="E8" s="423">
        <v>31.087</v>
      </c>
    </row>
    <row r="9" spans="1:7">
      <c r="A9" s="875">
        <v>40909</v>
      </c>
      <c r="B9" s="876">
        <v>32.861112903225809</v>
      </c>
      <c r="C9" s="876">
        <v>32.861112903225809</v>
      </c>
      <c r="D9" s="876">
        <v>33.795999999999999</v>
      </c>
      <c r="E9" s="876">
        <v>33.849000000000004</v>
      </c>
    </row>
    <row r="10" spans="1:7">
      <c r="A10" s="438">
        <v>40940</v>
      </c>
      <c r="B10" s="423">
        <v>42.714001436781636</v>
      </c>
      <c r="C10" s="423">
        <v>42.714001436781636</v>
      </c>
      <c r="D10" s="423">
        <v>44.838000000000001</v>
      </c>
      <c r="E10" s="423">
        <v>46.555999999999997</v>
      </c>
    </row>
    <row r="11" spans="1:7">
      <c r="A11" s="875">
        <v>40969</v>
      </c>
      <c r="B11" s="876">
        <v>25.136954239569292</v>
      </c>
      <c r="C11" s="876">
        <v>25.773866756392998</v>
      </c>
      <c r="D11" s="876">
        <v>25.774000000000001</v>
      </c>
      <c r="E11" s="876">
        <v>26.399000000000001</v>
      </c>
    </row>
    <row r="12" spans="1:7">
      <c r="A12" s="438">
        <v>41000</v>
      </c>
      <c r="B12" s="423">
        <v>27.928072222222216</v>
      </c>
      <c r="C12" s="423">
        <v>27.928072222222216</v>
      </c>
      <c r="D12" s="423">
        <v>27.931000000000001</v>
      </c>
      <c r="E12" s="423">
        <v>29.96</v>
      </c>
    </row>
    <row r="13" spans="1:7">
      <c r="A13" s="875">
        <v>41030</v>
      </c>
      <c r="B13" s="876">
        <v>26.343926075268833</v>
      </c>
      <c r="C13" s="876">
        <v>26.343926075268833</v>
      </c>
      <c r="D13" s="876">
        <v>26.96</v>
      </c>
      <c r="E13" s="876">
        <v>28.731000000000002</v>
      </c>
    </row>
    <row r="14" spans="1:7">
      <c r="A14" s="438">
        <v>41061</v>
      </c>
      <c r="B14" s="423">
        <v>23.323238888888859</v>
      </c>
      <c r="C14" s="423">
        <v>23.323238888888859</v>
      </c>
      <c r="D14" s="423">
        <v>24.138999999999999</v>
      </c>
      <c r="E14" s="423">
        <v>31.341000000000001</v>
      </c>
    </row>
    <row r="15" spans="1:7">
      <c r="A15" s="875">
        <v>41091</v>
      </c>
      <c r="B15" s="876">
        <v>11.503592741935503</v>
      </c>
      <c r="C15" s="876">
        <v>11.503592741935503</v>
      </c>
      <c r="D15" s="876">
        <v>11.504000000000001</v>
      </c>
      <c r="E15" s="876">
        <v>16.663999999999998</v>
      </c>
    </row>
    <row r="16" spans="1:7">
      <c r="A16" s="438">
        <v>41122</v>
      </c>
      <c r="B16" s="423">
        <v>21.506748655914002</v>
      </c>
      <c r="C16" s="423">
        <v>21.506748655914002</v>
      </c>
      <c r="D16" s="423">
        <v>22.361000000000001</v>
      </c>
      <c r="E16" s="423">
        <v>23.016999999999999</v>
      </c>
    </row>
    <row r="17" spans="1:5">
      <c r="A17" s="875">
        <v>41153</v>
      </c>
      <c r="B17" s="876">
        <v>24.759306944444404</v>
      </c>
      <c r="C17" s="876">
        <v>24.759306944444404</v>
      </c>
      <c r="D17" s="876">
        <v>25.024000000000001</v>
      </c>
      <c r="E17" s="876">
        <v>25.48</v>
      </c>
    </row>
    <row r="18" spans="1:5">
      <c r="A18" s="438">
        <v>41183</v>
      </c>
      <c r="B18" s="423">
        <v>29.876370469798665</v>
      </c>
      <c r="C18" s="423">
        <v>29.876370469798665</v>
      </c>
      <c r="D18" s="423">
        <v>29.875999999999998</v>
      </c>
      <c r="E18" s="423">
        <v>29.887999999999998</v>
      </c>
    </row>
    <row r="19" spans="1:5">
      <c r="A19" s="875">
        <v>41214</v>
      </c>
      <c r="B19" s="876">
        <v>29.031565277777823</v>
      </c>
      <c r="C19" s="876">
        <v>29.031565277777823</v>
      </c>
      <c r="D19" s="876">
        <v>29.032</v>
      </c>
      <c r="E19" s="876">
        <v>29.060000000000002</v>
      </c>
    </row>
    <row r="20" spans="1:5">
      <c r="A20" s="438">
        <v>41244</v>
      </c>
      <c r="B20" s="423">
        <v>37.79763575268818</v>
      </c>
      <c r="C20" s="423">
        <v>37.79763575268818</v>
      </c>
      <c r="D20" s="423">
        <v>37.94</v>
      </c>
      <c r="E20" s="423">
        <v>38.173000000000002</v>
      </c>
    </row>
    <row r="21" spans="1:5">
      <c r="A21" s="875">
        <v>41275</v>
      </c>
      <c r="B21" s="876">
        <v>35.731897849462385</v>
      </c>
      <c r="C21" s="876">
        <v>35.731999999999999</v>
      </c>
      <c r="D21" s="876">
        <v>36.149461021505388</v>
      </c>
      <c r="E21" s="876">
        <v>36.416000000000004</v>
      </c>
    </row>
    <row r="22" spans="1:5">
      <c r="A22" s="438">
        <v>41306</v>
      </c>
      <c r="B22" s="423">
        <v>33.591763392857125</v>
      </c>
      <c r="C22" s="423">
        <v>33.591999999999999</v>
      </c>
      <c r="D22" s="423">
        <v>33.591763392857125</v>
      </c>
      <c r="E22" s="423">
        <v>33.698999999999998</v>
      </c>
    </row>
    <row r="23" spans="1:5">
      <c r="A23" s="875">
        <v>41334</v>
      </c>
      <c r="B23" s="876">
        <v>37.131069986541071</v>
      </c>
      <c r="C23" s="876">
        <v>37.131</v>
      </c>
      <c r="D23" s="876">
        <v>37.131069986541071</v>
      </c>
      <c r="E23" s="876">
        <v>37.131</v>
      </c>
    </row>
    <row r="24" spans="1:5">
      <c r="A24" s="438">
        <v>41365</v>
      </c>
      <c r="B24" s="423">
        <v>36.969933333333351</v>
      </c>
      <c r="C24" s="423">
        <v>36.97</v>
      </c>
      <c r="D24" s="423">
        <v>36.969933333333351</v>
      </c>
      <c r="E24" s="423">
        <v>37.067999999999998</v>
      </c>
    </row>
    <row r="25" spans="1:5">
      <c r="A25" s="875">
        <v>41395</v>
      </c>
      <c r="B25" s="876">
        <v>31.589134408602128</v>
      </c>
      <c r="C25" s="876">
        <v>31.588999999999999</v>
      </c>
      <c r="D25" s="876">
        <v>31.589134408602128</v>
      </c>
      <c r="E25" s="876">
        <v>31.673000000000002</v>
      </c>
    </row>
    <row r="26" spans="1:5">
      <c r="A26" s="438">
        <v>41426</v>
      </c>
      <c r="B26" s="423">
        <v>29.634926388888893</v>
      </c>
      <c r="C26" s="423">
        <v>29.635000000000002</v>
      </c>
      <c r="D26" s="423">
        <v>29.634926388888893</v>
      </c>
      <c r="E26" s="423">
        <v>29.835000000000001</v>
      </c>
    </row>
    <row r="27" spans="1:5">
      <c r="A27" s="875">
        <v>41456</v>
      </c>
      <c r="B27" s="876">
        <v>29.613944892473107</v>
      </c>
      <c r="C27" s="876">
        <v>29.613999999999997</v>
      </c>
      <c r="D27" s="876">
        <v>29.613944892473107</v>
      </c>
      <c r="E27" s="876">
        <v>30.274000000000001</v>
      </c>
    </row>
    <row r="28" spans="1:5">
      <c r="A28" s="438">
        <v>41487</v>
      </c>
      <c r="B28" s="423">
        <v>35.124474462365612</v>
      </c>
      <c r="C28" s="423">
        <v>35.124000000000002</v>
      </c>
      <c r="D28" s="423">
        <v>35.124474462365612</v>
      </c>
      <c r="E28" s="423">
        <v>35.131999999999998</v>
      </c>
    </row>
    <row r="29" spans="1:5">
      <c r="A29" s="875">
        <v>41518</v>
      </c>
      <c r="B29" s="876">
        <v>38.719344444444445</v>
      </c>
      <c r="C29" s="876">
        <v>38.719000000000001</v>
      </c>
      <c r="D29" s="876">
        <v>39.664208333333349</v>
      </c>
      <c r="E29" s="876">
        <v>39.862000000000002</v>
      </c>
    </row>
    <row r="30" spans="1:5">
      <c r="A30" s="438">
        <v>41548</v>
      </c>
      <c r="B30" s="423">
        <v>36.163703355704683</v>
      </c>
      <c r="C30" s="423">
        <v>36.164000000000001</v>
      </c>
      <c r="D30" s="423">
        <v>36.920985234899327</v>
      </c>
      <c r="E30" s="423">
        <v>36.945</v>
      </c>
    </row>
    <row r="31" spans="1:5">
      <c r="A31" s="875">
        <v>41579</v>
      </c>
      <c r="B31" s="876">
        <v>32.813223611111084</v>
      </c>
      <c r="C31" s="876">
        <v>32.813000000000002</v>
      </c>
      <c r="D31" s="876">
        <v>33.124513888888863</v>
      </c>
      <c r="E31" s="876">
        <v>35.566000000000003</v>
      </c>
    </row>
    <row r="32" spans="1:5">
      <c r="A32" s="438">
        <v>41609</v>
      </c>
      <c r="B32" s="423">
        <v>29.195139784946218</v>
      </c>
      <c r="C32" s="423">
        <v>29.195</v>
      </c>
      <c r="D32" s="423">
        <v>29.46036827956987</v>
      </c>
      <c r="E32" s="423">
        <v>30.483999999999998</v>
      </c>
    </row>
    <row r="33" spans="1:5">
      <c r="A33" s="875">
        <v>41640</v>
      </c>
      <c r="B33" s="876">
        <v>29.016000000000002</v>
      </c>
      <c r="C33" s="876">
        <v>29.015580645161304</v>
      </c>
      <c r="D33" s="876">
        <v>29.433</v>
      </c>
      <c r="E33" s="876">
        <v>29.435000000000002</v>
      </c>
    </row>
    <row r="34" spans="1:5">
      <c r="A34" s="438">
        <v>41671</v>
      </c>
      <c r="B34" s="423">
        <v>26.718</v>
      </c>
      <c r="C34" s="423">
        <v>26.717505952380954</v>
      </c>
      <c r="D34" s="423">
        <v>26.718</v>
      </c>
      <c r="E34" s="423">
        <v>27.77</v>
      </c>
    </row>
    <row r="35" spans="1:5">
      <c r="A35" s="875">
        <v>41699</v>
      </c>
      <c r="B35" s="876">
        <v>23.527000000000001</v>
      </c>
      <c r="C35" s="876">
        <v>23.526888290713305</v>
      </c>
      <c r="D35" s="876">
        <v>23.529</v>
      </c>
      <c r="E35" s="876">
        <v>24.238999999999997</v>
      </c>
    </row>
    <row r="36" spans="1:5">
      <c r="A36" s="438">
        <v>41730</v>
      </c>
      <c r="B36" s="423">
        <v>24.558</v>
      </c>
      <c r="C36" s="423">
        <v>24.558445833333355</v>
      </c>
      <c r="D36" s="423">
        <v>24.558</v>
      </c>
      <c r="E36" s="423">
        <v>24.583000000000002</v>
      </c>
    </row>
    <row r="37" spans="1:5">
      <c r="A37" s="875">
        <v>41760</v>
      </c>
      <c r="B37" s="876">
        <v>31.708999999999996</v>
      </c>
      <c r="C37" s="876">
        <v>31.708521505376346</v>
      </c>
      <c r="D37" s="876">
        <v>31.708999999999996</v>
      </c>
      <c r="E37" s="876">
        <v>31.713999999999999</v>
      </c>
    </row>
    <row r="38" spans="1:5">
      <c r="A38" s="438">
        <v>41791</v>
      </c>
      <c r="B38" s="423">
        <v>28.608999999999998</v>
      </c>
      <c r="C38" s="423">
        <v>28.609205555555537</v>
      </c>
      <c r="D38" s="423">
        <v>29.352999999999998</v>
      </c>
      <c r="E38" s="423">
        <v>29.451000000000001</v>
      </c>
    </row>
    <row r="39" spans="1:5">
      <c r="A39" s="875">
        <v>41821</v>
      </c>
      <c r="B39" s="876">
        <v>27.468</v>
      </c>
      <c r="C39" s="876">
        <v>27.468204301075254</v>
      </c>
      <c r="D39" s="876">
        <v>27.468</v>
      </c>
      <c r="E39" s="876">
        <v>27.558</v>
      </c>
    </row>
    <row r="40" spans="1:5">
      <c r="A40" s="438">
        <v>41852</v>
      </c>
      <c r="B40" s="423">
        <v>31.74</v>
      </c>
      <c r="C40" s="423">
        <v>31.739612903225783</v>
      </c>
      <c r="D40" s="423">
        <v>31.749000000000002</v>
      </c>
      <c r="E40" s="423">
        <v>31.804000000000002</v>
      </c>
    </row>
    <row r="41" spans="1:5">
      <c r="A41" s="875">
        <v>41883</v>
      </c>
      <c r="B41" s="876">
        <v>33.533999999999999</v>
      </c>
      <c r="C41" s="876">
        <v>33.534351388888894</v>
      </c>
      <c r="D41" s="876">
        <v>33.533999999999999</v>
      </c>
      <c r="E41" s="876">
        <v>33.642000000000003</v>
      </c>
    </row>
    <row r="42" spans="1:5">
      <c r="A42" s="438">
        <v>41913</v>
      </c>
      <c r="B42" s="423">
        <v>28.655000000000001</v>
      </c>
      <c r="C42" s="423">
        <v>28.654910067114109</v>
      </c>
      <c r="D42" s="423">
        <v>28.657999999999998</v>
      </c>
      <c r="E42" s="423">
        <v>28.657999999999998</v>
      </c>
    </row>
    <row r="43" spans="1:5">
      <c r="A43" s="875">
        <v>41944</v>
      </c>
      <c r="B43" s="876">
        <v>27.856999999999999</v>
      </c>
      <c r="C43" s="876">
        <v>27.8565</v>
      </c>
      <c r="D43" s="876">
        <v>28.326000000000001</v>
      </c>
      <c r="E43" s="876">
        <v>28.467000000000002</v>
      </c>
    </row>
    <row r="44" spans="1:5">
      <c r="A44" s="438">
        <v>41974</v>
      </c>
      <c r="B44" s="423">
        <v>29.6</v>
      </c>
      <c r="C44" s="423">
        <v>29.599721774193522</v>
      </c>
      <c r="D44" s="423">
        <v>30.129000000000001</v>
      </c>
      <c r="E44" s="423">
        <v>31.092000000000002</v>
      </c>
    </row>
    <row r="45" spans="1:5">
      <c r="A45" s="875">
        <v>42005</v>
      </c>
      <c r="B45" s="876">
        <v>28.179911290322586</v>
      </c>
      <c r="C45" s="876">
        <v>28.179911290322586</v>
      </c>
      <c r="D45" s="876">
        <v>28.5309623655914</v>
      </c>
      <c r="E45" s="876">
        <v>28.704000000000001</v>
      </c>
    </row>
    <row r="46" spans="1:5">
      <c r="A46" s="438">
        <v>42036</v>
      </c>
      <c r="B46" s="423">
        <v>26.667266369047638</v>
      </c>
      <c r="C46" s="423">
        <v>26.667266369047638</v>
      </c>
      <c r="D46" s="423">
        <v>28.067400297619066</v>
      </c>
      <c r="E46" s="423">
        <v>29.511000000000003</v>
      </c>
    </row>
    <row r="47" spans="1:5">
      <c r="A47" s="875">
        <v>42064</v>
      </c>
      <c r="B47" s="876">
        <v>23.305</v>
      </c>
      <c r="C47" s="876">
        <v>23.305</v>
      </c>
      <c r="D47" s="876">
        <v>23.936</v>
      </c>
      <c r="E47" s="876">
        <v>24.511000000000003</v>
      </c>
    </row>
    <row r="48" spans="1:5">
      <c r="A48" s="438">
        <v>42095</v>
      </c>
      <c r="B48" s="423">
        <v>23.553999999999998</v>
      </c>
      <c r="C48" s="423">
        <v>23.553999999999998</v>
      </c>
      <c r="D48" s="423">
        <v>23.817</v>
      </c>
      <c r="E48" s="423">
        <v>23.997999999999998</v>
      </c>
    </row>
    <row r="49" spans="1:5">
      <c r="A49" s="875">
        <v>42125</v>
      </c>
      <c r="B49" s="876">
        <v>20.811</v>
      </c>
      <c r="C49" s="876">
        <v>20.811</v>
      </c>
      <c r="D49" s="876">
        <v>20.939</v>
      </c>
      <c r="E49" s="876">
        <v>21.678999999999998</v>
      </c>
    </row>
    <row r="50" spans="1:5">
      <c r="A50" s="438">
        <v>42156</v>
      </c>
      <c r="B50" s="423">
        <v>13.788</v>
      </c>
      <c r="C50" s="423">
        <v>13.788</v>
      </c>
      <c r="D50" s="423">
        <v>14.180999999999999</v>
      </c>
      <c r="E50" s="423">
        <v>18.690999999999999</v>
      </c>
    </row>
    <row r="51" spans="1:5">
      <c r="A51" s="875">
        <v>42186</v>
      </c>
      <c r="B51" s="876">
        <v>8.4969999999999999</v>
      </c>
      <c r="C51" s="876">
        <v>8.4969999999999999</v>
      </c>
      <c r="D51" s="876">
        <v>8.4969999999999999</v>
      </c>
      <c r="E51" s="876">
        <v>8.6080000000000005</v>
      </c>
    </row>
    <row r="52" spans="1:5">
      <c r="A52" s="438">
        <v>42217</v>
      </c>
      <c r="B52" s="423">
        <v>13.708000000000002</v>
      </c>
      <c r="C52" s="423">
        <v>13.708000000000002</v>
      </c>
      <c r="D52" s="423">
        <v>15.869</v>
      </c>
      <c r="E52" s="423">
        <v>15.869</v>
      </c>
    </row>
    <row r="53" spans="1:5">
      <c r="A53" s="875">
        <v>42248</v>
      </c>
      <c r="B53" s="876">
        <v>19.443000000000001</v>
      </c>
      <c r="C53" s="876">
        <v>19.579999999999998</v>
      </c>
      <c r="D53" s="876">
        <v>19.651</v>
      </c>
      <c r="E53" s="876">
        <v>20.672000000000001</v>
      </c>
    </row>
    <row r="54" spans="1:5">
      <c r="A54" s="438">
        <v>42278</v>
      </c>
      <c r="B54" s="423">
        <v>20.91</v>
      </c>
      <c r="C54" s="423">
        <v>20.91</v>
      </c>
      <c r="D54" s="423">
        <v>22.091000000000001</v>
      </c>
      <c r="E54" s="423">
        <v>23.138999999999999</v>
      </c>
    </row>
    <row r="55" spans="1:5">
      <c r="A55" s="875">
        <v>42309</v>
      </c>
      <c r="B55" s="876">
        <v>22.46</v>
      </c>
      <c r="C55" s="876">
        <v>22.46</v>
      </c>
      <c r="D55" s="876">
        <v>24.01</v>
      </c>
      <c r="E55" s="876">
        <v>24.331</v>
      </c>
    </row>
    <row r="56" spans="1:5">
      <c r="A56" s="438">
        <v>42339</v>
      </c>
      <c r="B56" s="423">
        <v>16.954999999999998</v>
      </c>
      <c r="C56" s="423">
        <v>16.954999999999998</v>
      </c>
      <c r="D56" s="423">
        <v>18.181000000000001</v>
      </c>
      <c r="E56" s="423">
        <v>18.242000000000001</v>
      </c>
    </row>
    <row r="57" spans="1:5">
      <c r="A57" s="875">
        <v>42370</v>
      </c>
      <c r="B57" s="876">
        <v>26.182000000000002</v>
      </c>
      <c r="C57" s="876">
        <v>26.182000000000002</v>
      </c>
      <c r="D57" s="876">
        <v>28.771000000000001</v>
      </c>
      <c r="E57" s="876">
        <v>28.78</v>
      </c>
    </row>
    <row r="58" spans="1:5">
      <c r="A58" s="438">
        <v>42401</v>
      </c>
      <c r="B58" s="423">
        <v>18.043000000000003</v>
      </c>
      <c r="C58" s="423">
        <v>18.043000000000003</v>
      </c>
      <c r="D58" s="423">
        <v>18.3</v>
      </c>
      <c r="E58" s="423">
        <v>18.704000000000001</v>
      </c>
    </row>
    <row r="59" spans="1:5">
      <c r="A59" s="875">
        <v>42430</v>
      </c>
      <c r="B59" s="876">
        <v>20.071000000000002</v>
      </c>
      <c r="C59" s="876">
        <v>20.071000000000002</v>
      </c>
      <c r="D59" s="876">
        <v>20.073</v>
      </c>
      <c r="E59" s="876">
        <v>20.744</v>
      </c>
    </row>
    <row r="60" spans="1:5">
      <c r="A60" s="438">
        <v>42461</v>
      </c>
      <c r="B60" s="423">
        <v>20.310000000000002</v>
      </c>
      <c r="C60" s="423">
        <v>20.310000000000002</v>
      </c>
      <c r="D60" s="423">
        <v>20.315000000000001</v>
      </c>
      <c r="E60" s="423">
        <v>20.411000000000001</v>
      </c>
    </row>
    <row r="61" spans="1:5">
      <c r="A61" s="875">
        <v>42491</v>
      </c>
      <c r="B61" s="876">
        <v>21.981000000000002</v>
      </c>
      <c r="C61" s="876">
        <v>21.981000000000002</v>
      </c>
      <c r="D61" s="876">
        <v>21.981000000000002</v>
      </c>
      <c r="E61" s="876">
        <v>22.023</v>
      </c>
    </row>
    <row r="62" spans="1:5">
      <c r="A62" s="438">
        <v>42522</v>
      </c>
      <c r="B62" s="423">
        <v>31.463000000000001</v>
      </c>
      <c r="C62" s="423">
        <v>31.463000000000001</v>
      </c>
      <c r="D62" s="423">
        <v>31.481999999999999</v>
      </c>
      <c r="E62" s="423">
        <v>31.5</v>
      </c>
    </row>
    <row r="63" spans="1:5">
      <c r="A63" s="875">
        <v>42552</v>
      </c>
      <c r="B63" s="876">
        <v>27.417000000000002</v>
      </c>
      <c r="C63" s="876">
        <v>27.417000000000002</v>
      </c>
      <c r="D63" s="876">
        <v>27.417000000000002</v>
      </c>
      <c r="E63" s="876">
        <v>27.494</v>
      </c>
    </row>
    <row r="64" spans="1:5">
      <c r="A64" s="438">
        <v>42583</v>
      </c>
      <c r="B64" s="423">
        <v>28.927</v>
      </c>
      <c r="C64" s="423">
        <v>28.927</v>
      </c>
      <c r="D64" s="423">
        <v>28.937000000000001</v>
      </c>
      <c r="E64" s="423">
        <v>28.951000000000001</v>
      </c>
    </row>
    <row r="65" spans="1:5">
      <c r="A65" s="875">
        <v>42614</v>
      </c>
      <c r="B65" s="876">
        <v>27.761000000000003</v>
      </c>
      <c r="C65" s="876">
        <v>27.761000000000003</v>
      </c>
      <c r="D65" s="876">
        <v>27.943000000000001</v>
      </c>
      <c r="E65" s="876">
        <v>28.320999999999998</v>
      </c>
    </row>
    <row r="66" spans="1:5">
      <c r="A66" s="438">
        <v>42644</v>
      </c>
      <c r="B66" s="423">
        <v>35.112000000000002</v>
      </c>
      <c r="C66" s="423">
        <v>35.112000000000002</v>
      </c>
      <c r="D66" s="423">
        <v>35.112000000000002</v>
      </c>
      <c r="E66" s="423">
        <v>35.545999999999999</v>
      </c>
    </row>
    <row r="67" spans="1:5">
      <c r="A67" s="875">
        <v>42675</v>
      </c>
      <c r="B67" s="876">
        <v>40.408000000000001</v>
      </c>
      <c r="C67" s="876">
        <v>40.408000000000001</v>
      </c>
      <c r="D67" s="876">
        <v>40.408000000000001</v>
      </c>
      <c r="E67" s="876">
        <v>40.517000000000003</v>
      </c>
    </row>
    <row r="68" spans="1:5">
      <c r="A68" s="438">
        <v>42705</v>
      </c>
      <c r="B68" s="423">
        <v>32.160096774193555</v>
      </c>
      <c r="C68" s="423">
        <v>32.160096774193555</v>
      </c>
      <c r="D68" s="423">
        <v>32.234935483870977</v>
      </c>
      <c r="E68" s="423">
        <v>33.357322580645153</v>
      </c>
    </row>
    <row r="69" spans="1:5">
      <c r="A69" s="875">
        <v>42736</v>
      </c>
      <c r="B69" s="876">
        <v>30.160533602150501</v>
      </c>
      <c r="C69" s="876">
        <v>30.160533602150501</v>
      </c>
      <c r="D69" s="876">
        <v>30.368641129032198</v>
      </c>
      <c r="E69" s="876">
        <v>32.324713709677397</v>
      </c>
    </row>
    <row r="70" spans="1:5">
      <c r="A70" s="438">
        <v>42767</v>
      </c>
      <c r="B70" s="423">
        <v>31.3228258928571</v>
      </c>
      <c r="C70" s="615">
        <v>31.3228258928571</v>
      </c>
      <c r="D70" s="423">
        <v>31.358078869047599</v>
      </c>
      <c r="E70" s="423">
        <v>32.392217261904698</v>
      </c>
    </row>
    <row r="71" spans="1:5">
      <c r="A71" s="875">
        <v>42795</v>
      </c>
      <c r="B71" s="876">
        <v>28.9752368775235</v>
      </c>
      <c r="C71" s="876">
        <v>28.9752368775235</v>
      </c>
      <c r="D71" s="876">
        <v>28.9752368775235</v>
      </c>
      <c r="E71" s="876">
        <v>29.161736204575998</v>
      </c>
    </row>
    <row r="72" spans="1:5">
      <c r="A72" s="438">
        <v>42826</v>
      </c>
      <c r="B72" s="683">
        <v>27.690247222222201</v>
      </c>
      <c r="C72" s="615">
        <v>27.690247222222201</v>
      </c>
      <c r="D72" s="683">
        <v>27.690247222222201</v>
      </c>
      <c r="E72" s="423">
        <v>28.092995833333301</v>
      </c>
    </row>
    <row r="73" spans="1:5">
      <c r="A73" s="875">
        <v>42856</v>
      </c>
      <c r="B73" s="876">
        <v>28.6723252688172</v>
      </c>
      <c r="C73" s="876">
        <v>28.6723252688172</v>
      </c>
      <c r="D73" s="876">
        <v>28.695626344086001</v>
      </c>
      <c r="E73" s="876">
        <v>28.812869623655899</v>
      </c>
    </row>
    <row r="74" spans="1:5">
      <c r="A74" s="438">
        <v>42887</v>
      </c>
      <c r="B74" s="683">
        <v>26.387598611111098</v>
      </c>
      <c r="C74" s="615">
        <v>26.387598611111098</v>
      </c>
      <c r="D74" s="683">
        <v>26.387598611111098</v>
      </c>
      <c r="E74" s="423">
        <v>27.334693055555501</v>
      </c>
    </row>
    <row r="75" spans="1:5">
      <c r="A75" s="875">
        <v>42917</v>
      </c>
      <c r="B75" s="876">
        <v>29.439830645161301</v>
      </c>
      <c r="C75" s="876">
        <v>29.439830645161301</v>
      </c>
      <c r="D75" s="876">
        <v>29.584956989247299</v>
      </c>
      <c r="E75" s="876">
        <v>29.630467741935501</v>
      </c>
    </row>
    <row r="76" spans="1:5">
      <c r="A76" s="438">
        <v>42948</v>
      </c>
      <c r="B76" s="683">
        <v>31.812868279569901</v>
      </c>
      <c r="C76" s="615">
        <v>31.812868279569901</v>
      </c>
      <c r="D76" s="683">
        <v>32.113576612903202</v>
      </c>
      <c r="E76" s="423">
        <v>32.387353494623703</v>
      </c>
    </row>
    <row r="78" spans="1:5">
      <c r="A78" s="439"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theme="0"/>
  </sheetPr>
  <dimension ref="A1:J51"/>
  <sheetViews>
    <sheetView zoomScaleNormal="100" workbookViewId="0">
      <pane ySplit="6" topLeftCell="A19" activePane="bottomLeft" state="frozen"/>
      <selection pane="bottomLeft" activeCell="C1" sqref="C1"/>
    </sheetView>
  </sheetViews>
  <sheetFormatPr defaultColWidth="9.1328125" defaultRowHeight="14.25"/>
  <cols>
    <col min="1" max="1" width="9.265625" style="549" customWidth="1"/>
    <col min="2" max="2" width="11.73046875" style="549" customWidth="1"/>
    <col min="3" max="3" width="15.59765625" style="549" bestFit="1" customWidth="1"/>
    <col min="4" max="4" width="15.265625" style="549" bestFit="1" customWidth="1"/>
    <col min="5" max="5" width="16.73046875" style="549" bestFit="1" customWidth="1"/>
    <col min="6" max="6" width="16.265625" style="549" bestFit="1" customWidth="1"/>
    <col min="7" max="7" width="15.86328125" style="549" customWidth="1"/>
    <col min="8" max="16384" width="9.1328125" style="549"/>
  </cols>
  <sheetData>
    <row r="1" spans="1:10">
      <c r="A1" s="524" t="str">
        <f>IF(språk=lista[[#Headers],[Svenska]],"Innehåll",IF(språk=lista[[#Headers],[English]],"Contents","FEL"))</f>
        <v>Contents</v>
      </c>
    </row>
    <row r="3" spans="1:10" ht="27" customHeight="1">
      <c r="A3" s="1064" t="str">
        <f>IFERROR(INDEX(lista[],MATCH($A5,lista[ID],0),MATCH(språk,lista[#Headers],0)),"")</f>
        <v xml:space="preserve">Electricity network price 1 January for different customers, taxes not included, from 1996, nominal prices, öre/kWh </v>
      </c>
      <c r="B3" s="1064"/>
      <c r="C3" s="1064"/>
      <c r="D3" s="1064"/>
      <c r="E3" s="1064"/>
      <c r="F3" s="1064"/>
      <c r="G3" s="1064"/>
    </row>
    <row r="4" spans="1:10">
      <c r="A4" s="702"/>
      <c r="B4" s="702"/>
    </row>
    <row r="5" spans="1:10" hidden="1">
      <c r="A5" s="549">
        <v>44</v>
      </c>
      <c r="B5" s="549" t="s">
        <v>647</v>
      </c>
      <c r="C5" s="549" t="s">
        <v>648</v>
      </c>
      <c r="D5" s="549" t="s">
        <v>649</v>
      </c>
      <c r="E5" s="549" t="s">
        <v>650</v>
      </c>
      <c r="F5" s="549" t="s">
        <v>651</v>
      </c>
      <c r="G5" s="549" t="s">
        <v>652</v>
      </c>
    </row>
    <row r="6" spans="1:10" ht="48.75" customHeight="1">
      <c r="A6" s="332"/>
      <c r="B6" s="332" t="str">
        <f>IFERROR(INDEX(_6.10[],MATCH(språk,_6.10[[id]:[id]],0),MATCH(B$5,_6.10[#Headers],0)),"")</f>
        <v>Apartments</v>
      </c>
      <c r="C6" s="332" t="str">
        <f>IFERROR(INDEX(_6.10[],MATCH(språk,_6.10[[id]:[id]],0),MATCH(C$5,_6.10[#Headers],0)),"")</f>
        <v>Detached house without electricty heating</v>
      </c>
      <c r="D6" s="332" t="str">
        <f>IFERROR(INDEX(_6.10[],MATCH(språk,_6.10[[id]:[id]],0),MATCH(D$5,_6.10[#Headers],0)),"")</f>
        <v>Detached house with electricty heating</v>
      </c>
      <c r="E6" s="332" t="str">
        <f>IFERROR(INDEX(_6.10[],MATCH(språk,_6.10[[id]:[id]],0),MATCH(E$5,_6.10[#Headers],0)),"")</f>
        <v>Agriculture and forestry</v>
      </c>
      <c r="F6" s="332" t="str">
        <f>IFERROR(INDEX(_6.10[],MATCH(språk,_6.10[[id]:[id]],0),MATCH(F$5,_6.10[#Headers],0)),"")</f>
        <v>Business</v>
      </c>
      <c r="G6" s="332" t="str">
        <f>IFERROR(INDEX(_6.10[],MATCH(språk,_6.10[[id]:[id]],0),MATCH(G$5,_6.10[#Headers],0)),"")</f>
        <v>Small industries</v>
      </c>
      <c r="J6" s="703"/>
    </row>
    <row r="7" spans="1:10">
      <c r="A7" s="940">
        <v>1996</v>
      </c>
      <c r="B7" s="798">
        <v>40.799999999999997</v>
      </c>
      <c r="C7" s="798">
        <v>35.799999999999997</v>
      </c>
      <c r="D7" s="798">
        <v>18.5</v>
      </c>
      <c r="E7" s="798">
        <v>21.6</v>
      </c>
      <c r="F7" s="798" t="s">
        <v>6</v>
      </c>
      <c r="G7" s="798">
        <v>10</v>
      </c>
      <c r="J7" s="145"/>
    </row>
    <row r="8" spans="1:10">
      <c r="A8" s="941">
        <v>1997</v>
      </c>
      <c r="B8" s="138">
        <v>41.1</v>
      </c>
      <c r="C8" s="138">
        <v>36.200000000000003</v>
      </c>
      <c r="D8" s="138">
        <v>21.6</v>
      </c>
      <c r="E8" s="138">
        <v>22.5</v>
      </c>
      <c r="F8" s="138">
        <v>15.4</v>
      </c>
      <c r="G8" s="138">
        <v>16.5</v>
      </c>
      <c r="J8" s="145"/>
    </row>
    <row r="9" spans="1:10">
      <c r="A9" s="940">
        <v>1998</v>
      </c>
      <c r="B9" s="798">
        <v>42.3</v>
      </c>
      <c r="C9" s="798">
        <v>37.1</v>
      </c>
      <c r="D9" s="798">
        <v>20.7</v>
      </c>
      <c r="E9" s="798">
        <v>21.7</v>
      </c>
      <c r="F9" s="798">
        <v>15.3</v>
      </c>
      <c r="G9" s="798">
        <v>14.8</v>
      </c>
      <c r="J9" s="145"/>
    </row>
    <row r="10" spans="1:10">
      <c r="A10" s="941">
        <v>1999</v>
      </c>
      <c r="B10" s="138">
        <v>42.3</v>
      </c>
      <c r="C10" s="138">
        <v>37.200000000000003</v>
      </c>
      <c r="D10" s="138">
        <v>20.6</v>
      </c>
      <c r="E10" s="138">
        <v>21.8</v>
      </c>
      <c r="F10" s="138">
        <v>15.2</v>
      </c>
      <c r="G10" s="138">
        <v>15</v>
      </c>
      <c r="J10" s="145"/>
    </row>
    <row r="11" spans="1:10">
      <c r="A11" s="940">
        <v>2000</v>
      </c>
      <c r="B11" s="798">
        <v>42.3</v>
      </c>
      <c r="C11" s="798">
        <v>37.200000000000003</v>
      </c>
      <c r="D11" s="798">
        <v>20.8</v>
      </c>
      <c r="E11" s="798">
        <v>21.9</v>
      </c>
      <c r="F11" s="798">
        <v>15.3</v>
      </c>
      <c r="G11" s="798">
        <v>15.2</v>
      </c>
      <c r="J11" s="145"/>
    </row>
    <row r="12" spans="1:10">
      <c r="A12" s="941">
        <v>2001</v>
      </c>
      <c r="B12" s="138">
        <v>42.9</v>
      </c>
      <c r="C12" s="138">
        <v>37.5</v>
      </c>
      <c r="D12" s="138">
        <v>20.8</v>
      </c>
      <c r="E12" s="138">
        <v>22.2</v>
      </c>
      <c r="F12" s="138">
        <v>15.3</v>
      </c>
      <c r="G12" s="138">
        <v>15</v>
      </c>
      <c r="J12" s="145"/>
    </row>
    <row r="13" spans="1:10">
      <c r="A13" s="940">
        <v>2002</v>
      </c>
      <c r="B13" s="798">
        <v>42.8</v>
      </c>
      <c r="C13" s="798">
        <v>37.6</v>
      </c>
      <c r="D13" s="798">
        <v>20.9</v>
      </c>
      <c r="E13" s="798">
        <v>22.2</v>
      </c>
      <c r="F13" s="798">
        <v>15.4</v>
      </c>
      <c r="G13" s="798">
        <v>15.3</v>
      </c>
      <c r="J13" s="145"/>
    </row>
    <row r="14" spans="1:10">
      <c r="A14" s="941">
        <v>2003</v>
      </c>
      <c r="B14" s="138">
        <v>44.1</v>
      </c>
      <c r="C14" s="138">
        <v>38.5</v>
      </c>
      <c r="D14" s="138">
        <v>21.7</v>
      </c>
      <c r="E14" s="138">
        <v>22.9</v>
      </c>
      <c r="F14" s="138">
        <v>16</v>
      </c>
      <c r="G14" s="138">
        <v>15.6</v>
      </c>
      <c r="J14" s="138"/>
    </row>
    <row r="15" spans="1:10">
      <c r="A15" s="940">
        <v>2004</v>
      </c>
      <c r="B15" s="798">
        <v>45.897434851604942</v>
      </c>
      <c r="C15" s="798">
        <v>40.553549783549762</v>
      </c>
      <c r="D15" s="798">
        <v>22.365155858952274</v>
      </c>
      <c r="E15" s="798">
        <v>23.947741112524252</v>
      </c>
      <c r="F15" s="798">
        <v>16.655606060606051</v>
      </c>
      <c r="G15" s="798">
        <v>16.394206700379272</v>
      </c>
    </row>
    <row r="16" spans="1:10">
      <c r="A16" s="941">
        <v>2005</v>
      </c>
      <c r="B16" s="138">
        <v>46.8</v>
      </c>
      <c r="C16" s="138">
        <v>40.799999999999997</v>
      </c>
      <c r="D16" s="138">
        <v>22.8</v>
      </c>
      <c r="E16" s="138">
        <v>24.4</v>
      </c>
      <c r="F16" s="138">
        <v>17.100000000000001</v>
      </c>
      <c r="G16" s="138">
        <v>16.899999999999999</v>
      </c>
    </row>
    <row r="17" spans="1:7">
      <c r="A17" s="940">
        <v>2006</v>
      </c>
      <c r="B17" s="798">
        <v>46.9</v>
      </c>
      <c r="C17" s="798">
        <v>40.9</v>
      </c>
      <c r="D17" s="798">
        <v>22.8</v>
      </c>
      <c r="E17" s="798">
        <v>24.5</v>
      </c>
      <c r="F17" s="798">
        <v>17.100000000000001</v>
      </c>
      <c r="G17" s="798">
        <v>16.8</v>
      </c>
    </row>
    <row r="18" spans="1:7">
      <c r="A18" s="941">
        <v>2007</v>
      </c>
      <c r="B18" s="138">
        <v>47.5</v>
      </c>
      <c r="C18" s="138">
        <v>41.1</v>
      </c>
      <c r="D18" s="138">
        <v>22.9</v>
      </c>
      <c r="E18" s="138">
        <v>24.7</v>
      </c>
      <c r="F18" s="138">
        <v>17.2</v>
      </c>
      <c r="G18" s="138">
        <v>16.899999999999999</v>
      </c>
    </row>
    <row r="19" spans="1:7">
      <c r="A19" s="940">
        <v>2008</v>
      </c>
      <c r="B19" s="798">
        <v>48.9</v>
      </c>
      <c r="C19" s="798">
        <v>42.4</v>
      </c>
      <c r="D19" s="798">
        <v>23.3</v>
      </c>
      <c r="E19" s="798">
        <v>25.4</v>
      </c>
      <c r="F19" s="798">
        <v>17.600000000000001</v>
      </c>
      <c r="G19" s="798">
        <v>17.600000000000001</v>
      </c>
    </row>
    <row r="20" spans="1:7">
      <c r="A20" s="941">
        <v>2009</v>
      </c>
      <c r="B20" s="138">
        <v>52.5</v>
      </c>
      <c r="C20" s="138">
        <v>45.6</v>
      </c>
      <c r="D20" s="138">
        <v>24.7</v>
      </c>
      <c r="E20" s="138">
        <v>27</v>
      </c>
      <c r="F20" s="138">
        <v>18.600000000000001</v>
      </c>
      <c r="G20" s="138">
        <v>18.5</v>
      </c>
    </row>
    <row r="21" spans="1:7">
      <c r="A21" s="940">
        <v>2010</v>
      </c>
      <c r="B21" s="798">
        <v>56.2</v>
      </c>
      <c r="C21" s="798">
        <v>48.9</v>
      </c>
      <c r="D21" s="798">
        <v>26.2</v>
      </c>
      <c r="E21" s="798">
        <v>28.8</v>
      </c>
      <c r="F21" s="798">
        <v>19.7</v>
      </c>
      <c r="G21" s="798">
        <v>19.7</v>
      </c>
    </row>
    <row r="22" spans="1:7">
      <c r="A22" s="941">
        <v>2011</v>
      </c>
      <c r="B22" s="138">
        <v>59.1</v>
      </c>
      <c r="C22" s="138">
        <v>51.3</v>
      </c>
      <c r="D22" s="138">
        <v>27.6</v>
      </c>
      <c r="E22" s="138">
        <v>30.4</v>
      </c>
      <c r="F22" s="138">
        <v>20.7</v>
      </c>
      <c r="G22" s="138">
        <v>20.8</v>
      </c>
    </row>
    <row r="23" spans="1:7">
      <c r="A23" s="940">
        <v>2012</v>
      </c>
      <c r="B23" s="798">
        <v>61.6</v>
      </c>
      <c r="C23" s="798">
        <v>54.1</v>
      </c>
      <c r="D23" s="798">
        <v>28.6</v>
      </c>
      <c r="E23" s="798">
        <v>31.7</v>
      </c>
      <c r="F23" s="798" t="s">
        <v>6</v>
      </c>
      <c r="G23" s="798" t="s">
        <v>6</v>
      </c>
    </row>
    <row r="24" spans="1:7">
      <c r="A24" s="941">
        <v>2013</v>
      </c>
      <c r="B24" s="138">
        <v>64.099999999999994</v>
      </c>
      <c r="C24" s="138">
        <v>56.4</v>
      </c>
      <c r="D24" s="138">
        <v>29.5</v>
      </c>
      <c r="E24" s="138">
        <v>32.700000000000003</v>
      </c>
      <c r="F24" s="138" t="s">
        <v>6</v>
      </c>
      <c r="G24" s="138" t="s">
        <v>6</v>
      </c>
    </row>
    <row r="25" spans="1:7">
      <c r="A25" s="940">
        <v>2014</v>
      </c>
      <c r="B25" s="798">
        <v>66.7</v>
      </c>
      <c r="C25" s="798">
        <v>58.2</v>
      </c>
      <c r="D25" s="798">
        <v>30</v>
      </c>
      <c r="E25" s="798">
        <v>33.200000000000003</v>
      </c>
      <c r="F25" s="798" t="s">
        <v>6</v>
      </c>
      <c r="G25" s="798" t="s">
        <v>6</v>
      </c>
    </row>
    <row r="26" spans="1:7">
      <c r="A26" s="941">
        <v>2015</v>
      </c>
      <c r="B26" s="138">
        <v>68</v>
      </c>
      <c r="C26" s="138">
        <v>59.4</v>
      </c>
      <c r="D26" s="138">
        <v>30.5</v>
      </c>
      <c r="E26" s="138">
        <v>33.700000000000003</v>
      </c>
      <c r="F26" s="138" t="s">
        <v>6</v>
      </c>
      <c r="G26" s="138" t="s">
        <v>6</v>
      </c>
    </row>
    <row r="27" spans="1:7">
      <c r="A27" s="940" t="s">
        <v>465</v>
      </c>
      <c r="B27" s="798">
        <v>70.8</v>
      </c>
      <c r="C27" s="798">
        <v>61.4</v>
      </c>
      <c r="D27" s="798">
        <v>31.3</v>
      </c>
      <c r="E27" s="798">
        <v>34.799999999999997</v>
      </c>
      <c r="F27" s="798" t="s">
        <v>6</v>
      </c>
      <c r="G27" s="798" t="s">
        <v>6</v>
      </c>
    </row>
    <row r="28" spans="1:7">
      <c r="B28" s="615"/>
      <c r="C28" s="615"/>
      <c r="D28" s="615"/>
      <c r="E28" s="615"/>
    </row>
    <row r="29" spans="1:7" s="701" customFormat="1">
      <c r="A29" s="730" t="s">
        <v>27</v>
      </c>
      <c r="B29" s="132"/>
      <c r="C29" s="132"/>
      <c r="D29" s="132"/>
      <c r="E29" s="132"/>
      <c r="F29" s="132"/>
      <c r="G29" s="132"/>
    </row>
    <row r="30" spans="1:7">
      <c r="A30" s="1063" t="s">
        <v>482</v>
      </c>
      <c r="B30" s="1063"/>
      <c r="C30" s="1063"/>
      <c r="D30" s="1063"/>
      <c r="E30" s="1063"/>
      <c r="F30" s="1063"/>
      <c r="G30" s="1063"/>
    </row>
    <row r="31" spans="1:7" ht="28.5" customHeight="1">
      <c r="A31" s="1063" t="s">
        <v>500</v>
      </c>
      <c r="B31" s="1063"/>
      <c r="C31" s="1063"/>
      <c r="D31" s="1063"/>
      <c r="E31" s="1063"/>
      <c r="F31" s="1063"/>
      <c r="G31" s="1063"/>
    </row>
    <row r="32" spans="1:7">
      <c r="A32" s="704"/>
      <c r="B32" s="615"/>
      <c r="C32" s="615"/>
      <c r="D32" s="615"/>
      <c r="E32" s="615"/>
    </row>
    <row r="33" spans="1:5">
      <c r="A33" s="704"/>
      <c r="B33" s="615"/>
      <c r="C33" s="615"/>
      <c r="D33" s="615"/>
      <c r="E33" s="615"/>
    </row>
    <row r="34" spans="1:5">
      <c r="A34" s="704"/>
      <c r="B34" s="615"/>
      <c r="C34" s="615"/>
      <c r="D34" s="615"/>
      <c r="E34" s="615"/>
    </row>
    <row r="35" spans="1:5">
      <c r="A35" s="704"/>
      <c r="B35" s="615"/>
      <c r="C35" s="615"/>
      <c r="D35" s="615"/>
      <c r="E35" s="615"/>
    </row>
    <row r="36" spans="1:5">
      <c r="A36" s="704"/>
      <c r="B36" s="615"/>
      <c r="C36" s="615"/>
      <c r="D36" s="615"/>
      <c r="E36" s="615"/>
    </row>
    <row r="37" spans="1:5">
      <c r="A37" s="704"/>
      <c r="B37" s="615"/>
      <c r="C37" s="615"/>
      <c r="D37" s="615"/>
      <c r="E37" s="615"/>
    </row>
    <row r="38" spans="1:5">
      <c r="A38" s="704"/>
      <c r="B38" s="615"/>
      <c r="C38" s="615"/>
      <c r="D38" s="615"/>
      <c r="E38" s="615"/>
    </row>
    <row r="39" spans="1:5">
      <c r="A39" s="704"/>
      <c r="B39" s="615"/>
      <c r="C39" s="615"/>
      <c r="D39" s="615"/>
      <c r="E39" s="615"/>
    </row>
    <row r="40" spans="1:5">
      <c r="A40" s="704"/>
      <c r="B40" s="615"/>
      <c r="C40" s="615"/>
      <c r="D40" s="615"/>
      <c r="E40" s="615"/>
    </row>
    <row r="41" spans="1:5">
      <c r="A41" s="704"/>
      <c r="B41" s="615"/>
      <c r="C41" s="615"/>
      <c r="D41" s="615"/>
      <c r="E41" s="615"/>
    </row>
    <row r="42" spans="1:5">
      <c r="A42" s="704"/>
      <c r="B42" s="615"/>
      <c r="C42" s="615"/>
      <c r="D42" s="615"/>
      <c r="E42" s="615"/>
    </row>
    <row r="43" spans="1:5">
      <c r="A43" s="704"/>
      <c r="B43" s="615"/>
      <c r="C43" s="615"/>
      <c r="D43" s="615"/>
      <c r="E43" s="615"/>
    </row>
    <row r="44" spans="1:5">
      <c r="A44" s="704"/>
      <c r="B44" s="615"/>
      <c r="C44" s="615"/>
      <c r="D44" s="615"/>
      <c r="E44" s="615"/>
    </row>
    <row r="45" spans="1:5">
      <c r="A45" s="704"/>
      <c r="B45" s="615"/>
      <c r="C45" s="615"/>
      <c r="D45" s="615"/>
      <c r="E45" s="615"/>
    </row>
    <row r="46" spans="1:5">
      <c r="A46" s="704"/>
      <c r="B46" s="615"/>
      <c r="C46" s="615"/>
      <c r="D46" s="615"/>
      <c r="E46" s="615"/>
    </row>
    <row r="47" spans="1:5">
      <c r="A47" s="704"/>
      <c r="B47" s="615"/>
      <c r="C47" s="615"/>
      <c r="D47" s="615"/>
      <c r="E47" s="615"/>
    </row>
    <row r="48" spans="1:5">
      <c r="A48" s="704"/>
      <c r="B48" s="615"/>
      <c r="C48" s="615"/>
      <c r="D48" s="615"/>
      <c r="E48" s="615"/>
    </row>
    <row r="49" spans="1:5">
      <c r="A49" s="704"/>
      <c r="B49" s="615"/>
      <c r="C49" s="615"/>
      <c r="D49" s="615"/>
      <c r="E49" s="615"/>
    </row>
    <row r="50" spans="1:5">
      <c r="A50" s="704"/>
      <c r="B50" s="615"/>
      <c r="C50" s="615"/>
      <c r="D50" s="615"/>
      <c r="E50" s="615"/>
    </row>
    <row r="51" spans="1:5">
      <c r="A51" s="704"/>
      <c r="B51" s="615"/>
      <c r="C51" s="615"/>
      <c r="D51" s="615"/>
      <c r="E51" s="615"/>
    </row>
  </sheetData>
  <mergeCells count="3">
    <mergeCell ref="A30:G30"/>
    <mergeCell ref="A3:G3"/>
    <mergeCell ref="A31:G31"/>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ignoredErrors>
    <ignoredError sqref="A27" numberStoredAsText="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theme="0"/>
  </sheetPr>
  <dimension ref="A1:EP620"/>
  <sheetViews>
    <sheetView zoomScaleNormal="100" workbookViewId="0">
      <pane ySplit="6" topLeftCell="A145" activePane="bottomLeft" state="frozen"/>
      <selection pane="bottomLeft" activeCell="C1" sqref="C1"/>
    </sheetView>
  </sheetViews>
  <sheetFormatPr defaultColWidth="9.1328125" defaultRowHeight="14.25"/>
  <cols>
    <col min="1" max="1" width="7.1328125" style="712" customWidth="1"/>
    <col min="2" max="2" width="12.1328125" style="549" bestFit="1" customWidth="1"/>
    <col min="3" max="3" width="15" style="549" bestFit="1" customWidth="1"/>
    <col min="4" max="5" width="15.86328125" style="549" bestFit="1" customWidth="1"/>
    <col min="6" max="6" width="17.3984375" style="549" bestFit="1" customWidth="1"/>
    <col min="7" max="7" width="2" style="549" bestFit="1" customWidth="1"/>
    <col min="8" max="8" width="12.1328125" style="549" bestFit="1" customWidth="1"/>
    <col min="9" max="9" width="15" style="549" bestFit="1" customWidth="1"/>
    <col min="10" max="11" width="15.86328125" style="549" bestFit="1" customWidth="1"/>
    <col min="12" max="12" width="17.3984375" style="549" bestFit="1" customWidth="1"/>
    <col min="13" max="13" width="3" style="549" bestFit="1" customWidth="1"/>
    <col min="14" max="14" width="12.1328125" style="549" bestFit="1" customWidth="1"/>
    <col min="15" max="15" width="15" style="549" bestFit="1" customWidth="1"/>
    <col min="16" max="17" width="15.86328125" style="549" bestFit="1" customWidth="1"/>
    <col min="18" max="18" width="17.3984375" style="549" bestFit="1" customWidth="1"/>
    <col min="19" max="19" width="18.59765625" style="549" bestFit="1" customWidth="1"/>
    <col min="20" max="20" width="9.1328125" style="549"/>
    <col min="21" max="21" width="11.59765625" style="549" bestFit="1" customWidth="1"/>
    <col min="22" max="24" width="9.1328125" style="549"/>
    <col min="25" max="25" width="17.3984375" style="549" bestFit="1" customWidth="1"/>
    <col min="26" max="26" width="18.59765625" style="549" bestFit="1" customWidth="1"/>
    <col min="27" max="27" width="18.3984375" style="549" bestFit="1" customWidth="1"/>
    <col min="28" max="28" width="11.59765625" style="549" bestFit="1" customWidth="1"/>
    <col min="29" max="29" width="9.1328125" style="549"/>
    <col min="30" max="30" width="9.59765625" style="549" customWidth="1"/>
    <col min="31" max="32" width="17.3984375" style="549" bestFit="1" customWidth="1"/>
    <col min="33" max="33" width="18.59765625" style="549" bestFit="1" customWidth="1"/>
    <col min="34" max="34" width="18.3984375" style="549" bestFit="1" customWidth="1"/>
    <col min="35" max="35" width="11.59765625" style="549" bestFit="1" customWidth="1"/>
    <col min="36" max="37" width="9.1328125" style="549"/>
    <col min="38" max="39" width="17.3984375" style="549" bestFit="1" customWidth="1"/>
    <col min="40" max="40" width="18.59765625" style="549" bestFit="1" customWidth="1"/>
    <col min="41" max="41" width="18.3984375" style="549" bestFit="1" customWidth="1"/>
    <col min="42" max="42" width="11.59765625" style="549" bestFit="1" customWidth="1"/>
    <col min="43" max="16384" width="9.1328125" style="549"/>
  </cols>
  <sheetData>
    <row r="1" spans="1:43">
      <c r="A1" s="524" t="str">
        <f>IF(språk=lista[[#Headers],[Svenska]],"Innehåll",IF(språk=lista[[#Headers],[English]],"Contents","FEL"))</f>
        <v>Contents</v>
      </c>
    </row>
    <row r="3" spans="1:43">
      <c r="A3" s="982" t="str">
        <f>IFERROR(INDEX(lista[],MATCH($A4,lista[ID],0),MATCH(språk,lista[#Headers],0)),"")</f>
        <v>Electricity price for households, taxes and network price not included, from april 2004, nominal prices, öre/kWh</v>
      </c>
    </row>
    <row r="4" spans="1:43" hidden="1">
      <c r="A4" s="982">
        <v>45</v>
      </c>
      <c r="B4" s="549" t="s">
        <v>647</v>
      </c>
      <c r="C4" s="549" t="s">
        <v>648</v>
      </c>
      <c r="D4" s="549" t="s">
        <v>649</v>
      </c>
      <c r="E4" s="549" t="s">
        <v>650</v>
      </c>
      <c r="F4" s="549" t="s">
        <v>651</v>
      </c>
      <c r="G4" s="549" t="s">
        <v>652</v>
      </c>
      <c r="H4" s="549" t="s">
        <v>653</v>
      </c>
      <c r="I4" s="549" t="s">
        <v>654</v>
      </c>
    </row>
    <row r="5" spans="1:43" s="699" customFormat="1">
      <c r="A5" s="944"/>
      <c r="B5" s="1065" t="str">
        <f>IFERROR(INDEX(_6.11[],MATCH(språk,_6.11[[id]:[id]],0),MATCH(G$4,_6.11[#Headers],0)),"")</f>
        <v>Apartment</v>
      </c>
      <c r="C5" s="1065"/>
      <c r="D5" s="1065"/>
      <c r="E5" s="1065"/>
      <c r="F5" s="1065"/>
      <c r="H5" s="1065" t="str">
        <f>IFERROR(INDEX(_6.11[],MATCH(språk,_6.11[[id]:[id]],0),MATCH(H$4,_6.11[#Headers],0)),"")</f>
        <v>Detached house without electricity heating</v>
      </c>
      <c r="I5" s="1065"/>
      <c r="J5" s="1065"/>
      <c r="K5" s="1065"/>
      <c r="L5" s="1065"/>
      <c r="N5" s="1065" t="str">
        <f>IFERROR(INDEX(_6.11[],MATCH(språk,_6.11[[id]:[id]],0),MATCH(I$4,_6.11[#Headers],0)),"")</f>
        <v>Detached house with electricity heating</v>
      </c>
      <c r="O5" s="1065"/>
      <c r="P5" s="1065"/>
      <c r="Q5" s="1065"/>
      <c r="R5" s="1065"/>
    </row>
    <row r="6" spans="1:43" s="579" customFormat="1">
      <c r="A6" s="709"/>
      <c r="B6" s="510" t="str">
        <f>IFERROR(INDEX(_6.11[],MATCH(språk,_6.11[[id]:[id]],0),MATCH(B$4,_6.11[#Headers],0)),"")</f>
        <v>Variable price</v>
      </c>
      <c r="C6" s="510" t="str">
        <f>IFERROR(INDEX(_6.11[],MATCH(språk,_6.11[[id]:[id]],0),MATCH(C$4,_6.11[#Headers],0)),"")</f>
        <v>Fixed price 1 year</v>
      </c>
      <c r="D6" s="510" t="str">
        <f>IFERROR(INDEX(_6.11[],MATCH(språk,_6.11[[id]:[id]],0),MATCH(D$4,_6.11[#Headers],0)),"")</f>
        <v>Fixed price 2 years</v>
      </c>
      <c r="E6" s="510" t="str">
        <f>IFERROR(INDEX(_6.11[],MATCH(språk,_6.11[[id]:[id]],0),MATCH(E$4,_6.11[#Headers],0)),"")</f>
        <v>Fixed price 3 years</v>
      </c>
      <c r="F6" s="510" t="str">
        <f>IFERROR(INDEX(_6.11[],MATCH(språk,_6.11[[id]:[id]],0),MATCH(F$4,_6.11[#Headers],0)),"")</f>
        <v xml:space="preserve">Designated contract </v>
      </c>
      <c r="G6" s="510"/>
      <c r="H6" s="510" t="str">
        <f>IFERROR(INDEX(_6.11[],MATCH(språk,_6.11[[id]:[id]],0),MATCH(B$4,_6.11[#Headers],0)),"")</f>
        <v>Variable price</v>
      </c>
      <c r="I6" s="510" t="str">
        <f>IFERROR(INDEX(_6.11[],MATCH(språk,_6.11[[id]:[id]],0),MATCH(C$4,_6.11[#Headers],0)),"")</f>
        <v>Fixed price 1 year</v>
      </c>
      <c r="J6" s="510" t="str">
        <f>IFERROR(INDEX(_6.11[],MATCH(språk,_6.11[[id]:[id]],0),MATCH(D$4,_6.11[#Headers],0)),"")</f>
        <v>Fixed price 2 years</v>
      </c>
      <c r="K6" s="510" t="str">
        <f>IFERROR(INDEX(_6.11[],MATCH(språk,_6.11[[id]:[id]],0),MATCH(E$4,_6.11[#Headers],0)),"")</f>
        <v>Fixed price 3 years</v>
      </c>
      <c r="L6" s="510" t="str">
        <f>IFERROR(INDEX(_6.11[],MATCH(språk,_6.11[[id]:[id]],0),MATCH(F$4,_6.11[#Headers],0)),"")</f>
        <v xml:space="preserve">Designated contract </v>
      </c>
      <c r="M6" s="510" t="str">
        <f>IFERROR(INDEX(_6.11[],MATCH(språk,_6.11[[id]:[id]],0),MATCH(M$4,_6.11[#Headers],0)),"")</f>
        <v/>
      </c>
      <c r="N6" s="510" t="str">
        <f>IFERROR(INDEX(_6.11[],MATCH(språk,_6.11[[id]:[id]],0),MATCH(B$4,_6.11[#Headers],0)),"")</f>
        <v>Variable price</v>
      </c>
      <c r="O6" s="510" t="str">
        <f>IFERROR(INDEX(_6.11[],MATCH(språk,_6.11[[id]:[id]],0),MATCH(C$4,_6.11[#Headers],0)),"")</f>
        <v>Fixed price 1 year</v>
      </c>
      <c r="P6" s="510" t="str">
        <f>IFERROR(INDEX(_6.11[],MATCH(språk,_6.11[[id]:[id]],0),MATCH(D$4,_6.11[#Headers],0)),"")</f>
        <v>Fixed price 2 years</v>
      </c>
      <c r="Q6" s="510" t="str">
        <f>IFERROR(INDEX(_6.11[],MATCH(språk,_6.11[[id]:[id]],0),MATCH(E$4,_6.11[#Headers],0)),"")</f>
        <v>Fixed price 3 years</v>
      </c>
      <c r="R6" s="510" t="str">
        <f>IFERROR(INDEX(_6.11[],MATCH(språk,_6.11[[id]:[id]],0),MATCH(F$4,_6.11[#Headers],0)),"")</f>
        <v xml:space="preserve">Designated contract </v>
      </c>
      <c r="V6" s="98"/>
      <c r="AC6" s="98"/>
      <c r="AJ6" s="98"/>
    </row>
    <row r="7" spans="1:43" s="579" customFormat="1">
      <c r="A7" s="934">
        <v>38078</v>
      </c>
      <c r="B7" s="798">
        <v>40.590000000000003</v>
      </c>
      <c r="C7" s="798">
        <v>42.960769230769237</v>
      </c>
      <c r="D7" s="798">
        <v>42.312698412698403</v>
      </c>
      <c r="E7" s="798">
        <v>42.297727272727279</v>
      </c>
      <c r="F7" s="798">
        <v>49.651470588235306</v>
      </c>
      <c r="G7" s="145"/>
      <c r="H7" s="798">
        <v>34.179756097560976</v>
      </c>
      <c r="I7" s="798">
        <v>36.962857142857139</v>
      </c>
      <c r="J7" s="798">
        <v>36.353442622950816</v>
      </c>
      <c r="K7" s="798">
        <v>36.268124999999998</v>
      </c>
      <c r="L7" s="798">
        <v>44.484242424242417</v>
      </c>
      <c r="M7" s="145"/>
      <c r="N7" s="798">
        <v>30.907560975609751</v>
      </c>
      <c r="O7" s="798">
        <v>33.976428571428578</v>
      </c>
      <c r="P7" s="798">
        <v>33.393278688524589</v>
      </c>
      <c r="Q7" s="798">
        <v>33.272109374999999</v>
      </c>
      <c r="R7" s="798">
        <v>41.853636363636362</v>
      </c>
      <c r="V7" s="145"/>
      <c r="AC7" s="145"/>
      <c r="AJ7" s="145"/>
      <c r="AQ7" s="145"/>
    </row>
    <row r="8" spans="1:43">
      <c r="A8" s="935">
        <v>38108</v>
      </c>
      <c r="B8" s="138">
        <v>39.532093023255825</v>
      </c>
      <c r="C8" s="138">
        <v>43.280882352941184</v>
      </c>
      <c r="D8" s="138">
        <v>42.611940298507463</v>
      </c>
      <c r="E8" s="138">
        <v>42.319402985074625</v>
      </c>
      <c r="F8" s="138">
        <v>47.174637681159425</v>
      </c>
      <c r="G8" s="145"/>
      <c r="H8" s="138">
        <v>32.810952380952379</v>
      </c>
      <c r="I8" s="138">
        <v>37.298787878787898</v>
      </c>
      <c r="J8" s="138">
        <v>36.675076923076929</v>
      </c>
      <c r="K8" s="138">
        <v>36.415076923076924</v>
      </c>
      <c r="L8" s="138">
        <v>41.970746268656718</v>
      </c>
      <c r="M8" s="145"/>
      <c r="N8" s="138">
        <v>29.533953488372095</v>
      </c>
      <c r="O8" s="138">
        <v>34.342878787878789</v>
      </c>
      <c r="P8" s="138">
        <v>33.735692307692311</v>
      </c>
      <c r="Q8" s="138">
        <v>33.496461538461546</v>
      </c>
      <c r="R8" s="138">
        <v>39.332611940298506</v>
      </c>
      <c r="V8" s="145"/>
      <c r="AC8" s="145"/>
      <c r="AJ8" s="145"/>
      <c r="AQ8" s="145"/>
    </row>
    <row r="9" spans="1:43">
      <c r="A9" s="934">
        <v>38139</v>
      </c>
      <c r="B9" s="798">
        <v>43.8</v>
      </c>
      <c r="C9" s="798">
        <v>44.8</v>
      </c>
      <c r="D9" s="798">
        <v>43.8</v>
      </c>
      <c r="E9" s="798">
        <v>43.5</v>
      </c>
      <c r="F9" s="798">
        <v>47.3</v>
      </c>
      <c r="G9" s="145"/>
      <c r="H9" s="798">
        <v>37.1</v>
      </c>
      <c r="I9" s="798">
        <v>38.799999999999997</v>
      </c>
      <c r="J9" s="798">
        <v>37.799999999999997</v>
      </c>
      <c r="K9" s="798">
        <v>37.4</v>
      </c>
      <c r="L9" s="798">
        <v>41.9</v>
      </c>
      <c r="M9" s="145"/>
      <c r="N9" s="798">
        <v>33.6</v>
      </c>
      <c r="O9" s="798">
        <v>35.700000000000003</v>
      </c>
      <c r="P9" s="798">
        <v>34.799999999999997</v>
      </c>
      <c r="Q9" s="798">
        <v>34.4</v>
      </c>
      <c r="R9" s="798">
        <v>39.200000000000003</v>
      </c>
      <c r="V9" s="145"/>
      <c r="AC9" s="145"/>
      <c r="AJ9" s="145"/>
      <c r="AQ9" s="145"/>
    </row>
    <row r="10" spans="1:43">
      <c r="A10" s="935">
        <v>38169</v>
      </c>
      <c r="B10" s="138">
        <v>39.1</v>
      </c>
      <c r="C10" s="138">
        <v>46.1</v>
      </c>
      <c r="D10" s="138">
        <v>45</v>
      </c>
      <c r="E10" s="138">
        <v>44.5</v>
      </c>
      <c r="F10" s="138">
        <v>47.1</v>
      </c>
      <c r="G10" s="145"/>
      <c r="H10" s="138">
        <v>32</v>
      </c>
      <c r="I10" s="138">
        <v>40</v>
      </c>
      <c r="J10" s="138">
        <v>39.1</v>
      </c>
      <c r="K10" s="138">
        <v>38.4</v>
      </c>
      <c r="L10" s="138">
        <v>41.8</v>
      </c>
      <c r="M10" s="145"/>
      <c r="N10" s="138">
        <v>28.4</v>
      </c>
      <c r="O10" s="138">
        <v>37</v>
      </c>
      <c r="P10" s="138">
        <v>36.1</v>
      </c>
      <c r="Q10" s="138">
        <v>35.4</v>
      </c>
      <c r="R10" s="138">
        <v>38.6</v>
      </c>
      <c r="V10" s="145"/>
      <c r="AC10" s="145"/>
      <c r="AJ10" s="145"/>
      <c r="AQ10" s="145"/>
    </row>
    <row r="11" spans="1:43">
      <c r="A11" s="934">
        <v>38200</v>
      </c>
      <c r="B11" s="798">
        <v>44.9</v>
      </c>
      <c r="C11" s="798">
        <v>46.1</v>
      </c>
      <c r="D11" s="798">
        <v>45.1</v>
      </c>
      <c r="E11" s="798">
        <v>44.6</v>
      </c>
      <c r="F11" s="798">
        <v>47.4</v>
      </c>
      <c r="G11" s="145"/>
      <c r="H11" s="798">
        <v>38</v>
      </c>
      <c r="I11" s="798">
        <v>40</v>
      </c>
      <c r="J11" s="798">
        <v>39.215757575757578</v>
      </c>
      <c r="K11" s="798">
        <v>38.5</v>
      </c>
      <c r="L11" s="798">
        <v>42</v>
      </c>
      <c r="M11" s="145"/>
      <c r="N11" s="798">
        <v>34.527500000000003</v>
      </c>
      <c r="O11" s="798">
        <v>37.014545454545463</v>
      </c>
      <c r="P11" s="798">
        <v>36.1</v>
      </c>
      <c r="Q11" s="798">
        <v>35.51705882352941</v>
      </c>
      <c r="R11" s="798">
        <v>39.299999999999997</v>
      </c>
      <c r="V11" s="145"/>
      <c r="AC11" s="145"/>
      <c r="AJ11" s="145"/>
      <c r="AQ11" s="145"/>
    </row>
    <row r="12" spans="1:43">
      <c r="A12" s="935">
        <v>38231</v>
      </c>
      <c r="B12" s="138">
        <v>41.1</v>
      </c>
      <c r="C12" s="138">
        <v>46</v>
      </c>
      <c r="D12" s="138">
        <v>45.3</v>
      </c>
      <c r="E12" s="138">
        <v>44.7</v>
      </c>
      <c r="F12" s="138">
        <v>47.8</v>
      </c>
      <c r="G12" s="145"/>
      <c r="H12" s="138">
        <v>34.200000000000003</v>
      </c>
      <c r="I12" s="138">
        <v>39.799999999999997</v>
      </c>
      <c r="J12" s="138">
        <v>39.200000000000003</v>
      </c>
      <c r="K12" s="138">
        <v>38.5</v>
      </c>
      <c r="L12" s="138">
        <v>42.4</v>
      </c>
      <c r="M12" s="145"/>
      <c r="N12" s="138">
        <v>30.7</v>
      </c>
      <c r="O12" s="138">
        <v>36.700000000000003</v>
      </c>
      <c r="P12" s="138">
        <v>36.1</v>
      </c>
      <c r="Q12" s="138">
        <v>35.4</v>
      </c>
      <c r="R12" s="138">
        <v>39.700000000000003</v>
      </c>
      <c r="V12" s="145"/>
      <c r="AC12" s="145"/>
      <c r="AJ12" s="145"/>
      <c r="AQ12" s="145"/>
    </row>
    <row r="13" spans="1:43">
      <c r="A13" s="934">
        <v>38261</v>
      </c>
      <c r="B13" s="798">
        <v>39.1</v>
      </c>
      <c r="C13" s="798">
        <v>44.2</v>
      </c>
      <c r="D13" s="798">
        <v>43.5</v>
      </c>
      <c r="E13" s="798">
        <v>43.1</v>
      </c>
      <c r="F13" s="798">
        <v>48.4</v>
      </c>
      <c r="G13" s="145"/>
      <c r="H13" s="798">
        <v>32</v>
      </c>
      <c r="I13" s="798">
        <v>38.1</v>
      </c>
      <c r="J13" s="798">
        <v>37.6</v>
      </c>
      <c r="K13" s="798">
        <v>37.200000000000003</v>
      </c>
      <c r="L13" s="798">
        <v>43</v>
      </c>
      <c r="M13" s="145"/>
      <c r="N13" s="798">
        <v>28.4</v>
      </c>
      <c r="O13" s="798">
        <v>35.1</v>
      </c>
      <c r="P13" s="798">
        <v>34.6</v>
      </c>
      <c r="Q13" s="798">
        <v>34.200000000000003</v>
      </c>
      <c r="R13" s="798">
        <v>40.4</v>
      </c>
      <c r="V13" s="145"/>
      <c r="AC13" s="145"/>
      <c r="AJ13" s="145"/>
      <c r="AQ13" s="145"/>
    </row>
    <row r="14" spans="1:43">
      <c r="A14" s="935">
        <v>38292</v>
      </c>
      <c r="B14" s="138">
        <v>39.9</v>
      </c>
      <c r="C14" s="138">
        <v>43.3</v>
      </c>
      <c r="D14" s="138">
        <v>42.9</v>
      </c>
      <c r="E14" s="138">
        <v>42.8</v>
      </c>
      <c r="F14" s="138">
        <v>48.9</v>
      </c>
      <c r="G14" s="145"/>
      <c r="H14" s="138">
        <v>33.200000000000003</v>
      </c>
      <c r="I14" s="138">
        <v>37.200000000000003</v>
      </c>
      <c r="J14" s="138">
        <v>36.9</v>
      </c>
      <c r="K14" s="138">
        <v>36.700000000000003</v>
      </c>
      <c r="L14" s="138">
        <v>43.5</v>
      </c>
      <c r="M14" s="145"/>
      <c r="N14" s="138">
        <v>29.8</v>
      </c>
      <c r="O14" s="138">
        <v>34.200000000000003</v>
      </c>
      <c r="P14" s="138">
        <v>33.9</v>
      </c>
      <c r="Q14" s="138">
        <v>33.6</v>
      </c>
      <c r="R14" s="138">
        <v>40.799999999999997</v>
      </c>
      <c r="V14" s="145"/>
      <c r="AC14" s="145"/>
      <c r="AJ14" s="145"/>
      <c r="AQ14" s="145"/>
    </row>
    <row r="15" spans="1:43">
      <c r="A15" s="934">
        <v>38322</v>
      </c>
      <c r="B15" s="798">
        <v>37.1</v>
      </c>
      <c r="C15" s="798">
        <v>41.9</v>
      </c>
      <c r="D15" s="798">
        <v>41.8</v>
      </c>
      <c r="E15" s="798">
        <v>41.8</v>
      </c>
      <c r="F15" s="798">
        <v>48.5</v>
      </c>
      <c r="G15" s="145"/>
      <c r="H15" s="798">
        <v>30.5</v>
      </c>
      <c r="I15" s="798">
        <v>35.9</v>
      </c>
      <c r="J15" s="798">
        <v>35.9</v>
      </c>
      <c r="K15" s="798">
        <v>35.799999999999997</v>
      </c>
      <c r="L15" s="798">
        <v>43.1</v>
      </c>
      <c r="M15" s="145"/>
      <c r="N15" s="798">
        <v>27.3</v>
      </c>
      <c r="O15" s="798">
        <v>33</v>
      </c>
      <c r="P15" s="798">
        <v>33</v>
      </c>
      <c r="Q15" s="798">
        <v>32.799999999999997</v>
      </c>
      <c r="R15" s="798">
        <v>40.5</v>
      </c>
      <c r="V15" s="145"/>
      <c r="AC15" s="145"/>
      <c r="AJ15" s="145"/>
      <c r="AQ15" s="145"/>
    </row>
    <row r="16" spans="1:43">
      <c r="A16" s="935">
        <v>38353</v>
      </c>
      <c r="B16" s="138">
        <v>35.6</v>
      </c>
      <c r="C16" s="138">
        <v>40.4</v>
      </c>
      <c r="D16" s="138">
        <v>41</v>
      </c>
      <c r="E16" s="138">
        <v>41</v>
      </c>
      <c r="F16" s="138">
        <v>48.2</v>
      </c>
      <c r="G16" s="145"/>
      <c r="H16" s="138">
        <v>28.9</v>
      </c>
      <c r="I16" s="138">
        <v>34.200000000000003</v>
      </c>
      <c r="J16" s="138">
        <v>34.799999999999997</v>
      </c>
      <c r="K16" s="138">
        <v>34.700000000000003</v>
      </c>
      <c r="L16" s="138">
        <v>42.5</v>
      </c>
      <c r="M16" s="145"/>
      <c r="N16" s="138">
        <v>25.4</v>
      </c>
      <c r="O16" s="138">
        <v>31.1</v>
      </c>
      <c r="P16" s="138">
        <v>31.7</v>
      </c>
      <c r="Q16" s="138">
        <v>31.7</v>
      </c>
      <c r="R16" s="138">
        <v>39.700000000000003</v>
      </c>
      <c r="V16" s="145"/>
      <c r="AC16" s="145"/>
      <c r="AJ16" s="145"/>
      <c r="AQ16" s="145"/>
    </row>
    <row r="17" spans="1:43">
      <c r="A17" s="934">
        <v>38384</v>
      </c>
      <c r="B17" s="798">
        <v>37.299999999999997</v>
      </c>
      <c r="C17" s="798">
        <v>38.5</v>
      </c>
      <c r="D17" s="798">
        <v>39.6</v>
      </c>
      <c r="E17" s="798">
        <v>40</v>
      </c>
      <c r="F17" s="798">
        <v>46.8</v>
      </c>
      <c r="G17" s="145"/>
      <c r="H17" s="798">
        <v>30.8</v>
      </c>
      <c r="I17" s="798">
        <v>32.299999999999997</v>
      </c>
      <c r="J17" s="798">
        <v>33.4</v>
      </c>
      <c r="K17" s="798">
        <v>33.799999999999997</v>
      </c>
      <c r="L17" s="798">
        <v>41.1</v>
      </c>
      <c r="M17" s="145"/>
      <c r="N17" s="798">
        <v>27.5</v>
      </c>
      <c r="O17" s="798">
        <v>29.2</v>
      </c>
      <c r="P17" s="798">
        <v>30.3</v>
      </c>
      <c r="Q17" s="798">
        <v>30.7</v>
      </c>
      <c r="R17" s="798">
        <v>38.299999999999997</v>
      </c>
      <c r="V17" s="145"/>
      <c r="AC17" s="145"/>
      <c r="AJ17" s="145"/>
      <c r="AQ17" s="145"/>
    </row>
    <row r="18" spans="1:43">
      <c r="A18" s="935">
        <v>38412</v>
      </c>
      <c r="B18" s="138">
        <v>42.3</v>
      </c>
      <c r="C18" s="138">
        <v>38.5</v>
      </c>
      <c r="D18" s="138">
        <v>39.6</v>
      </c>
      <c r="E18" s="138">
        <v>40.1</v>
      </c>
      <c r="F18" s="138">
        <v>45.7</v>
      </c>
      <c r="G18" s="145"/>
      <c r="H18" s="138">
        <v>35.799999999999997</v>
      </c>
      <c r="I18" s="138">
        <v>32.299999999999997</v>
      </c>
      <c r="J18" s="138">
        <v>33.4</v>
      </c>
      <c r="K18" s="138">
        <v>33.799999999999997</v>
      </c>
      <c r="L18" s="138">
        <v>39.9</v>
      </c>
      <c r="M18" s="145"/>
      <c r="N18" s="138">
        <v>32.4</v>
      </c>
      <c r="O18" s="138">
        <v>29.2</v>
      </c>
      <c r="P18" s="138">
        <v>30.3</v>
      </c>
      <c r="Q18" s="138">
        <v>30.7</v>
      </c>
      <c r="R18" s="138">
        <v>37.1</v>
      </c>
      <c r="V18" s="145"/>
      <c r="AC18" s="145"/>
      <c r="AJ18" s="145"/>
      <c r="AQ18" s="145"/>
    </row>
    <row r="19" spans="1:43">
      <c r="A19" s="934">
        <v>38443</v>
      </c>
      <c r="B19" s="798">
        <v>42.6</v>
      </c>
      <c r="C19" s="798">
        <v>40.299999999999997</v>
      </c>
      <c r="D19" s="798">
        <v>41</v>
      </c>
      <c r="E19" s="798">
        <v>41.4</v>
      </c>
      <c r="F19" s="798">
        <v>44.9</v>
      </c>
      <c r="G19" s="145"/>
      <c r="H19" s="798">
        <v>36</v>
      </c>
      <c r="I19" s="798">
        <v>34</v>
      </c>
      <c r="J19" s="798">
        <v>34.700000000000003</v>
      </c>
      <c r="K19" s="798">
        <v>35</v>
      </c>
      <c r="L19" s="798">
        <v>39.1</v>
      </c>
      <c r="M19" s="145"/>
      <c r="N19" s="798">
        <v>32.700000000000003</v>
      </c>
      <c r="O19" s="798">
        <v>30.9</v>
      </c>
      <c r="P19" s="798">
        <v>31.5</v>
      </c>
      <c r="Q19" s="798">
        <v>31.8</v>
      </c>
      <c r="R19" s="798">
        <v>36.200000000000003</v>
      </c>
      <c r="V19" s="145"/>
      <c r="AC19" s="145"/>
      <c r="AJ19" s="145"/>
      <c r="AQ19" s="145"/>
    </row>
    <row r="20" spans="1:43">
      <c r="A20" s="935">
        <v>38473</v>
      </c>
      <c r="B20" s="138">
        <v>43</v>
      </c>
      <c r="C20" s="138">
        <v>43</v>
      </c>
      <c r="D20" s="138">
        <v>43.2</v>
      </c>
      <c r="E20" s="138">
        <v>43.3</v>
      </c>
      <c r="F20" s="138">
        <v>45</v>
      </c>
      <c r="G20" s="145"/>
      <c r="H20" s="138">
        <v>36.5</v>
      </c>
      <c r="I20" s="138">
        <v>36.799999999999997</v>
      </c>
      <c r="J20" s="138">
        <v>36.9</v>
      </c>
      <c r="K20" s="138">
        <v>37</v>
      </c>
      <c r="L20" s="138">
        <v>39.1</v>
      </c>
      <c r="M20" s="145"/>
      <c r="N20" s="138">
        <v>33.200000000000003</v>
      </c>
      <c r="O20" s="138">
        <v>33.6</v>
      </c>
      <c r="P20" s="138">
        <v>33.700000000000003</v>
      </c>
      <c r="Q20" s="138">
        <v>33.799999999999997</v>
      </c>
      <c r="R20" s="138">
        <v>36.200000000000003</v>
      </c>
      <c r="V20" s="145"/>
      <c r="AC20" s="145"/>
      <c r="AJ20" s="145"/>
      <c r="AQ20" s="145"/>
    </row>
    <row r="21" spans="1:43">
      <c r="A21" s="934">
        <v>38504</v>
      </c>
      <c r="B21" s="798">
        <v>39</v>
      </c>
      <c r="C21" s="798">
        <v>44.7</v>
      </c>
      <c r="D21" s="798">
        <v>44.5</v>
      </c>
      <c r="E21" s="798">
        <v>44.2</v>
      </c>
      <c r="F21" s="798">
        <v>45.3</v>
      </c>
      <c r="G21" s="145"/>
      <c r="H21" s="798">
        <v>32.5</v>
      </c>
      <c r="I21" s="798">
        <v>38.5</v>
      </c>
      <c r="J21" s="798">
        <v>38.200000000000003</v>
      </c>
      <c r="K21" s="798">
        <v>38</v>
      </c>
      <c r="L21" s="798">
        <v>39.6</v>
      </c>
      <c r="M21" s="145"/>
      <c r="N21" s="798">
        <v>29.1</v>
      </c>
      <c r="O21" s="798">
        <v>35.4</v>
      </c>
      <c r="P21" s="798">
        <v>35.1</v>
      </c>
      <c r="Q21" s="798">
        <v>34.9</v>
      </c>
      <c r="R21" s="798">
        <v>36.700000000000003</v>
      </c>
      <c r="V21" s="145"/>
      <c r="AC21" s="145"/>
      <c r="AJ21" s="145"/>
      <c r="AQ21" s="145"/>
    </row>
    <row r="22" spans="1:43">
      <c r="A22" s="935">
        <v>38534</v>
      </c>
      <c r="B22" s="138">
        <v>41.7</v>
      </c>
      <c r="C22" s="138">
        <v>47</v>
      </c>
      <c r="D22" s="138">
        <v>46.7</v>
      </c>
      <c r="E22" s="138">
        <v>46.1</v>
      </c>
      <c r="F22" s="138">
        <v>46.5</v>
      </c>
      <c r="G22" s="145"/>
      <c r="H22" s="138">
        <v>35.200000000000003</v>
      </c>
      <c r="I22" s="138">
        <v>40.799999999999997</v>
      </c>
      <c r="J22" s="138">
        <v>40.299999999999997</v>
      </c>
      <c r="K22" s="138">
        <v>39.799999999999997</v>
      </c>
      <c r="L22" s="138">
        <v>40.6</v>
      </c>
      <c r="M22" s="145"/>
      <c r="N22" s="138">
        <v>31.8</v>
      </c>
      <c r="O22" s="138">
        <v>37.700000000000003</v>
      </c>
      <c r="P22" s="138">
        <v>37.200000000000003</v>
      </c>
      <c r="Q22" s="138">
        <v>36.700000000000003</v>
      </c>
      <c r="R22" s="138">
        <v>37.700000000000003</v>
      </c>
      <c r="V22" s="145"/>
      <c r="AC22" s="145"/>
      <c r="AJ22" s="145"/>
      <c r="AQ22" s="145"/>
    </row>
    <row r="23" spans="1:43">
      <c r="A23" s="934">
        <v>38565</v>
      </c>
      <c r="B23" s="798">
        <v>43.3</v>
      </c>
      <c r="C23" s="798">
        <v>49</v>
      </c>
      <c r="D23" s="798">
        <v>48.3</v>
      </c>
      <c r="E23" s="798">
        <v>47.7</v>
      </c>
      <c r="F23" s="798">
        <v>47.7</v>
      </c>
      <c r="G23" s="145"/>
      <c r="H23" s="798">
        <v>36.799999999999997</v>
      </c>
      <c r="I23" s="798">
        <v>42.6</v>
      </c>
      <c r="J23" s="798">
        <v>41.8</v>
      </c>
      <c r="K23" s="798">
        <v>41.4</v>
      </c>
      <c r="L23" s="798">
        <v>41.7</v>
      </c>
      <c r="M23" s="145"/>
      <c r="N23" s="798">
        <v>33.5</v>
      </c>
      <c r="O23" s="798">
        <v>39.4</v>
      </c>
      <c r="P23" s="798">
        <v>38.6</v>
      </c>
      <c r="Q23" s="798">
        <v>38.200000000000003</v>
      </c>
      <c r="R23" s="798">
        <v>38.700000000000003</v>
      </c>
      <c r="V23" s="145"/>
      <c r="AC23" s="145"/>
      <c r="AJ23" s="145"/>
      <c r="AQ23" s="145"/>
    </row>
    <row r="24" spans="1:43">
      <c r="A24" s="935">
        <v>38596</v>
      </c>
      <c r="B24" s="138">
        <v>41.8</v>
      </c>
      <c r="C24" s="138">
        <v>49.8</v>
      </c>
      <c r="D24" s="138">
        <v>49.1</v>
      </c>
      <c r="E24" s="138">
        <v>48.5</v>
      </c>
      <c r="F24" s="138">
        <v>49.8</v>
      </c>
      <c r="G24" s="145"/>
      <c r="H24" s="138">
        <v>35.200000000000003</v>
      </c>
      <c r="I24" s="138">
        <v>43.4</v>
      </c>
      <c r="J24" s="138">
        <v>42.7</v>
      </c>
      <c r="K24" s="138">
        <v>42.1</v>
      </c>
      <c r="L24" s="138">
        <v>43.8</v>
      </c>
      <c r="M24" s="145"/>
      <c r="N24" s="138">
        <v>31.8</v>
      </c>
      <c r="O24" s="138">
        <v>40.200000000000003</v>
      </c>
      <c r="P24" s="138">
        <v>39.5</v>
      </c>
      <c r="Q24" s="138">
        <v>39</v>
      </c>
      <c r="R24" s="138">
        <v>40.799999999999997</v>
      </c>
      <c r="V24" s="145"/>
      <c r="AC24" s="145"/>
      <c r="AJ24" s="145"/>
      <c r="AQ24" s="145"/>
    </row>
    <row r="25" spans="1:43">
      <c r="A25" s="934">
        <v>38626</v>
      </c>
      <c r="B25" s="798">
        <v>44.6</v>
      </c>
      <c r="C25" s="798">
        <v>49.6</v>
      </c>
      <c r="D25" s="798">
        <v>49.1</v>
      </c>
      <c r="E25" s="798">
        <v>48.6</v>
      </c>
      <c r="F25" s="798">
        <v>51.1</v>
      </c>
      <c r="G25" s="145"/>
      <c r="H25" s="798">
        <v>38</v>
      </c>
      <c r="I25" s="798">
        <v>43.1</v>
      </c>
      <c r="J25" s="798">
        <v>42.6</v>
      </c>
      <c r="K25" s="798">
        <v>42.2</v>
      </c>
      <c r="L25" s="798">
        <v>45.1</v>
      </c>
      <c r="M25" s="145"/>
      <c r="N25" s="798">
        <v>34.700000000000003</v>
      </c>
      <c r="O25" s="798">
        <v>39.9</v>
      </c>
      <c r="P25" s="798">
        <v>39.4</v>
      </c>
      <c r="Q25" s="798">
        <v>39</v>
      </c>
      <c r="R25" s="798">
        <v>42.1</v>
      </c>
      <c r="V25" s="145"/>
      <c r="AC25" s="145"/>
      <c r="AJ25" s="145"/>
      <c r="AQ25" s="145"/>
    </row>
    <row r="26" spans="1:43">
      <c r="A26" s="935">
        <v>38657</v>
      </c>
      <c r="B26" s="138">
        <v>43.4</v>
      </c>
      <c r="C26" s="138">
        <v>49.6</v>
      </c>
      <c r="D26" s="138">
        <v>49.1</v>
      </c>
      <c r="E26" s="138">
        <v>48.7</v>
      </c>
      <c r="F26" s="138">
        <v>51.8</v>
      </c>
      <c r="G26" s="145"/>
      <c r="H26" s="138">
        <v>37</v>
      </c>
      <c r="I26" s="138">
        <v>43.2</v>
      </c>
      <c r="J26" s="138">
        <v>42.7</v>
      </c>
      <c r="K26" s="138">
        <v>42.4</v>
      </c>
      <c r="L26" s="138">
        <v>45.8</v>
      </c>
      <c r="M26" s="145"/>
      <c r="N26" s="138">
        <v>33.799999999999997</v>
      </c>
      <c r="O26" s="138">
        <v>40</v>
      </c>
      <c r="P26" s="138">
        <v>39.6</v>
      </c>
      <c r="Q26" s="138">
        <v>39.200000000000003</v>
      </c>
      <c r="R26" s="138">
        <v>42.8</v>
      </c>
      <c r="V26" s="145"/>
      <c r="AC26" s="145"/>
      <c r="AJ26" s="145"/>
      <c r="AQ26" s="145"/>
    </row>
    <row r="27" spans="1:43">
      <c r="A27" s="934">
        <v>38687</v>
      </c>
      <c r="B27" s="798">
        <v>47.4</v>
      </c>
      <c r="C27" s="798">
        <v>49.9</v>
      </c>
      <c r="D27" s="798">
        <v>49.4</v>
      </c>
      <c r="E27" s="798">
        <v>49</v>
      </c>
      <c r="F27" s="798">
        <v>52.5</v>
      </c>
      <c r="G27" s="145"/>
      <c r="H27" s="798">
        <v>40.9</v>
      </c>
      <c r="I27" s="798">
        <v>43.4</v>
      </c>
      <c r="J27" s="798">
        <v>43</v>
      </c>
      <c r="K27" s="798">
        <v>42.6</v>
      </c>
      <c r="L27" s="798">
        <v>46.4</v>
      </c>
      <c r="M27" s="145"/>
      <c r="N27" s="798">
        <v>37.6</v>
      </c>
      <c r="O27" s="798">
        <v>40.200000000000003</v>
      </c>
      <c r="P27" s="798">
        <v>39.799999999999997</v>
      </c>
      <c r="Q27" s="798">
        <v>39.5</v>
      </c>
      <c r="R27" s="798">
        <v>43.4</v>
      </c>
      <c r="V27" s="145"/>
      <c r="AC27" s="145"/>
      <c r="AJ27" s="145"/>
      <c r="AQ27" s="145"/>
    </row>
    <row r="28" spans="1:43">
      <c r="A28" s="935">
        <v>38718</v>
      </c>
      <c r="B28" s="138">
        <v>51.7</v>
      </c>
      <c r="C28" s="138">
        <v>50.5</v>
      </c>
      <c r="D28" s="138">
        <v>50.1</v>
      </c>
      <c r="E28" s="138">
        <v>49.6</v>
      </c>
      <c r="F28" s="138">
        <v>54.4</v>
      </c>
      <c r="G28" s="145"/>
      <c r="H28" s="138">
        <v>44.9</v>
      </c>
      <c r="I28" s="138">
        <v>44.1</v>
      </c>
      <c r="J28" s="138">
        <v>43.6</v>
      </c>
      <c r="K28" s="138">
        <v>43.1</v>
      </c>
      <c r="L28" s="138">
        <v>48.1</v>
      </c>
      <c r="M28" s="145"/>
      <c r="N28" s="138">
        <v>41.6</v>
      </c>
      <c r="O28" s="138">
        <v>40.9</v>
      </c>
      <c r="P28" s="138">
        <v>40.4</v>
      </c>
      <c r="Q28" s="138">
        <v>40</v>
      </c>
      <c r="R28" s="138">
        <v>45</v>
      </c>
      <c r="V28" s="145"/>
      <c r="AC28" s="145"/>
      <c r="AJ28" s="145"/>
      <c r="AQ28" s="145"/>
    </row>
    <row r="29" spans="1:43">
      <c r="A29" s="934">
        <v>38749</v>
      </c>
      <c r="B29" s="798">
        <v>55.1</v>
      </c>
      <c r="C29" s="798">
        <v>52.9</v>
      </c>
      <c r="D29" s="798">
        <v>52.4</v>
      </c>
      <c r="E29" s="798">
        <v>51.7</v>
      </c>
      <c r="F29" s="798">
        <v>55.9</v>
      </c>
      <c r="G29" s="145"/>
      <c r="H29" s="798">
        <v>48.3</v>
      </c>
      <c r="I29" s="798">
        <v>46.3</v>
      </c>
      <c r="J29" s="798">
        <v>45.7</v>
      </c>
      <c r="K29" s="798">
        <v>45.1</v>
      </c>
      <c r="L29" s="798">
        <v>49.6</v>
      </c>
      <c r="M29" s="145"/>
      <c r="N29" s="798">
        <v>44.9</v>
      </c>
      <c r="O29" s="798">
        <v>43</v>
      </c>
      <c r="P29" s="798">
        <v>42.4</v>
      </c>
      <c r="Q29" s="798">
        <v>41.9</v>
      </c>
      <c r="R29" s="798">
        <v>46.4</v>
      </c>
      <c r="V29" s="145"/>
      <c r="AC29" s="145"/>
      <c r="AJ29" s="145"/>
      <c r="AQ29" s="145"/>
    </row>
    <row r="30" spans="1:43">
      <c r="A30" s="935">
        <v>38777</v>
      </c>
      <c r="B30" s="138">
        <v>63.7</v>
      </c>
      <c r="C30" s="138">
        <v>56.1</v>
      </c>
      <c r="D30" s="138">
        <v>55.3</v>
      </c>
      <c r="E30" s="138">
        <v>54.5</v>
      </c>
      <c r="F30" s="138">
        <v>57.5</v>
      </c>
      <c r="G30" s="145"/>
      <c r="H30" s="138">
        <v>56.8</v>
      </c>
      <c r="I30" s="138">
        <v>49.4</v>
      </c>
      <c r="J30" s="138">
        <v>48.5</v>
      </c>
      <c r="K30" s="138">
        <v>47.8</v>
      </c>
      <c r="L30" s="138">
        <v>51.1</v>
      </c>
      <c r="M30" s="145"/>
      <c r="N30" s="138">
        <v>53.4</v>
      </c>
      <c r="O30" s="138">
        <v>46.1</v>
      </c>
      <c r="P30" s="138">
        <v>45.2</v>
      </c>
      <c r="Q30" s="138">
        <v>44.5</v>
      </c>
      <c r="R30" s="138">
        <v>47.9</v>
      </c>
      <c r="V30" s="145"/>
      <c r="AC30" s="145"/>
      <c r="AJ30" s="145"/>
      <c r="AQ30" s="145"/>
    </row>
    <row r="31" spans="1:43">
      <c r="A31" s="934">
        <v>38808</v>
      </c>
      <c r="B31" s="798">
        <v>60.3</v>
      </c>
      <c r="C31" s="798">
        <v>60.6</v>
      </c>
      <c r="D31" s="798">
        <v>58.9</v>
      </c>
      <c r="E31" s="798">
        <v>57.6</v>
      </c>
      <c r="F31" s="798">
        <v>60.6</v>
      </c>
      <c r="G31" s="145"/>
      <c r="H31" s="798">
        <v>53.5</v>
      </c>
      <c r="I31" s="798">
        <v>54</v>
      </c>
      <c r="J31" s="798">
        <v>52.2</v>
      </c>
      <c r="K31" s="798">
        <v>51</v>
      </c>
      <c r="L31" s="798">
        <v>54.3</v>
      </c>
      <c r="M31" s="145"/>
      <c r="N31" s="798">
        <v>50.1</v>
      </c>
      <c r="O31" s="798">
        <v>50.8</v>
      </c>
      <c r="P31" s="798">
        <v>49</v>
      </c>
      <c r="Q31" s="798">
        <v>47.8</v>
      </c>
      <c r="R31" s="798">
        <v>51.1</v>
      </c>
      <c r="V31" s="145"/>
      <c r="AC31" s="145"/>
      <c r="AJ31" s="145"/>
      <c r="AQ31" s="145"/>
    </row>
    <row r="32" spans="1:43">
      <c r="A32" s="935">
        <v>38838</v>
      </c>
      <c r="B32" s="138">
        <v>47.4</v>
      </c>
      <c r="C32" s="138">
        <v>59.3</v>
      </c>
      <c r="D32" s="138">
        <v>58.3</v>
      </c>
      <c r="E32" s="138">
        <v>57.9</v>
      </c>
      <c r="F32" s="138">
        <v>63.6</v>
      </c>
      <c r="G32" s="145"/>
      <c r="H32" s="138">
        <v>40.6</v>
      </c>
      <c r="I32" s="138">
        <v>52.8</v>
      </c>
      <c r="J32" s="138">
        <v>51.6</v>
      </c>
      <c r="K32" s="138">
        <v>51</v>
      </c>
      <c r="L32" s="138">
        <v>57.1</v>
      </c>
      <c r="M32" s="145"/>
      <c r="N32" s="138">
        <v>37.1</v>
      </c>
      <c r="O32" s="138">
        <v>49.6</v>
      </c>
      <c r="P32" s="138">
        <v>48.3</v>
      </c>
      <c r="Q32" s="138">
        <v>47.8</v>
      </c>
      <c r="R32" s="138">
        <v>53.9</v>
      </c>
      <c r="V32" s="145"/>
      <c r="AC32" s="145"/>
      <c r="AJ32" s="145"/>
      <c r="AQ32" s="145"/>
    </row>
    <row r="33" spans="1:43">
      <c r="A33" s="934">
        <v>38869</v>
      </c>
      <c r="B33" s="798">
        <v>56.4</v>
      </c>
      <c r="C33" s="798">
        <v>58.7</v>
      </c>
      <c r="D33" s="798">
        <v>58</v>
      </c>
      <c r="E33" s="798">
        <v>57.5</v>
      </c>
      <c r="F33" s="798">
        <v>63.1</v>
      </c>
      <c r="G33" s="145"/>
      <c r="H33" s="798">
        <v>49.5</v>
      </c>
      <c r="I33" s="798">
        <v>52.1</v>
      </c>
      <c r="J33" s="798">
        <v>51.2</v>
      </c>
      <c r="K33" s="798">
        <v>50.7</v>
      </c>
      <c r="L33" s="798">
        <v>56.5</v>
      </c>
      <c r="M33" s="145"/>
      <c r="N33" s="798">
        <v>46.1</v>
      </c>
      <c r="O33" s="798">
        <v>48.9</v>
      </c>
      <c r="P33" s="798">
        <v>47.8</v>
      </c>
      <c r="Q33" s="798">
        <v>47.4</v>
      </c>
      <c r="R33" s="798">
        <v>53.3</v>
      </c>
      <c r="V33" s="145"/>
      <c r="AC33" s="145"/>
      <c r="AJ33" s="145"/>
      <c r="AQ33" s="145"/>
    </row>
    <row r="34" spans="1:43">
      <c r="A34" s="935">
        <v>38899</v>
      </c>
      <c r="B34" s="138">
        <v>59.6</v>
      </c>
      <c r="C34" s="138">
        <v>59.8</v>
      </c>
      <c r="D34" s="138">
        <v>58.5</v>
      </c>
      <c r="E34" s="138">
        <v>57.8</v>
      </c>
      <c r="F34" s="138">
        <v>62.8</v>
      </c>
      <c r="G34" s="145"/>
      <c r="H34" s="138">
        <v>52.8</v>
      </c>
      <c r="I34" s="138">
        <v>53.3</v>
      </c>
      <c r="J34" s="138">
        <v>51.9</v>
      </c>
      <c r="K34" s="138">
        <v>51.2</v>
      </c>
      <c r="L34" s="138">
        <v>56.4</v>
      </c>
      <c r="M34" s="145"/>
      <c r="N34" s="138">
        <v>49.5</v>
      </c>
      <c r="O34" s="138">
        <v>50.1</v>
      </c>
      <c r="P34" s="138">
        <v>48.6</v>
      </c>
      <c r="Q34" s="138">
        <v>47.9</v>
      </c>
      <c r="R34" s="138">
        <v>53.2</v>
      </c>
      <c r="V34" s="145"/>
      <c r="AC34" s="145"/>
      <c r="AJ34" s="145"/>
      <c r="AQ34" s="145"/>
    </row>
    <row r="35" spans="1:43">
      <c r="A35" s="934">
        <v>38930</v>
      </c>
      <c r="B35" s="798">
        <v>76.400000000000006</v>
      </c>
      <c r="C35" s="798">
        <v>63.5</v>
      </c>
      <c r="D35" s="798">
        <v>61.3</v>
      </c>
      <c r="E35" s="798">
        <v>60</v>
      </c>
      <c r="F35" s="798">
        <v>64</v>
      </c>
      <c r="G35" s="145"/>
      <c r="H35" s="798">
        <v>69.599999999999994</v>
      </c>
      <c r="I35" s="798">
        <v>56.9</v>
      </c>
      <c r="J35" s="798">
        <v>54.7</v>
      </c>
      <c r="K35" s="798">
        <v>53.4</v>
      </c>
      <c r="L35" s="798">
        <v>57.5</v>
      </c>
      <c r="M35" s="145"/>
      <c r="N35" s="798">
        <v>66.099999999999994</v>
      </c>
      <c r="O35" s="798">
        <v>53.7</v>
      </c>
      <c r="P35" s="798">
        <v>51.4</v>
      </c>
      <c r="Q35" s="798">
        <v>50.3</v>
      </c>
      <c r="R35" s="798">
        <v>54.3</v>
      </c>
      <c r="V35" s="145"/>
      <c r="AC35" s="145"/>
      <c r="AJ35" s="145"/>
      <c r="AQ35" s="145"/>
    </row>
    <row r="36" spans="1:43">
      <c r="A36" s="935">
        <v>38961</v>
      </c>
      <c r="B36" s="138">
        <v>74.599999999999994</v>
      </c>
      <c r="C36" s="138">
        <v>70</v>
      </c>
      <c r="D36" s="138">
        <v>65</v>
      </c>
      <c r="E36" s="138">
        <v>62.9</v>
      </c>
      <c r="F36" s="138">
        <v>70.5</v>
      </c>
      <c r="G36" s="145"/>
      <c r="H36" s="138">
        <v>67.8</v>
      </c>
      <c r="I36" s="138">
        <v>63.2</v>
      </c>
      <c r="J36" s="138">
        <v>58.4</v>
      </c>
      <c r="K36" s="138">
        <v>56.2</v>
      </c>
      <c r="L36" s="138">
        <v>63.9</v>
      </c>
      <c r="M36" s="145"/>
      <c r="N36" s="138">
        <v>64.400000000000006</v>
      </c>
      <c r="O36" s="138">
        <v>59.9</v>
      </c>
      <c r="P36" s="138">
        <v>55.2</v>
      </c>
      <c r="Q36" s="138">
        <v>53.1</v>
      </c>
      <c r="R36" s="138">
        <v>60.6</v>
      </c>
      <c r="V36" s="145"/>
      <c r="AC36" s="145"/>
      <c r="AJ36" s="145"/>
      <c r="AQ36" s="145"/>
    </row>
    <row r="37" spans="1:43">
      <c r="A37" s="934">
        <v>38991</v>
      </c>
      <c r="B37" s="798">
        <v>61.9</v>
      </c>
      <c r="C37" s="798">
        <v>69.900000000000006</v>
      </c>
      <c r="D37" s="798">
        <v>64.599999999999994</v>
      </c>
      <c r="E37" s="798">
        <v>62.5</v>
      </c>
      <c r="F37" s="798">
        <v>76.8</v>
      </c>
      <c r="G37" s="145"/>
      <c r="H37" s="798">
        <v>55.1</v>
      </c>
      <c r="I37" s="798">
        <v>63.1</v>
      </c>
      <c r="J37" s="798">
        <v>57.9</v>
      </c>
      <c r="K37" s="798">
        <v>55.9</v>
      </c>
      <c r="L37" s="798">
        <v>70.2</v>
      </c>
      <c r="M37" s="145"/>
      <c r="N37" s="798">
        <v>51.8</v>
      </c>
      <c r="O37" s="798">
        <v>59.8</v>
      </c>
      <c r="P37" s="798">
        <v>54.7</v>
      </c>
      <c r="Q37" s="798">
        <v>52.8</v>
      </c>
      <c r="R37" s="798">
        <v>67</v>
      </c>
      <c r="V37" s="145"/>
      <c r="AC37" s="145"/>
      <c r="AJ37" s="145"/>
      <c r="AQ37" s="145"/>
    </row>
    <row r="38" spans="1:43">
      <c r="A38" s="935">
        <v>39022</v>
      </c>
      <c r="B38" s="138">
        <v>56.9</v>
      </c>
      <c r="C38" s="138">
        <v>66.599999999999994</v>
      </c>
      <c r="D38" s="138">
        <v>62.5</v>
      </c>
      <c r="E38" s="138">
        <v>60.6</v>
      </c>
      <c r="F38" s="138">
        <v>77.7</v>
      </c>
      <c r="G38" s="145"/>
      <c r="H38" s="138">
        <v>50</v>
      </c>
      <c r="I38" s="138">
        <v>59.9</v>
      </c>
      <c r="J38" s="138">
        <v>55.8</v>
      </c>
      <c r="K38" s="138">
        <v>54</v>
      </c>
      <c r="L38" s="138">
        <v>71.2</v>
      </c>
      <c r="M38" s="145"/>
      <c r="N38" s="138">
        <v>46.5</v>
      </c>
      <c r="O38" s="138">
        <v>56.6</v>
      </c>
      <c r="P38" s="138">
        <v>52.5</v>
      </c>
      <c r="Q38" s="138">
        <v>50.8</v>
      </c>
      <c r="R38" s="138">
        <v>67.900000000000006</v>
      </c>
      <c r="V38" s="145"/>
      <c r="AC38" s="145"/>
      <c r="AJ38" s="145"/>
      <c r="AQ38" s="145"/>
    </row>
    <row r="39" spans="1:43">
      <c r="A39" s="934">
        <v>39052</v>
      </c>
      <c r="B39" s="798">
        <v>43.8</v>
      </c>
      <c r="C39" s="798">
        <v>59.4</v>
      </c>
      <c r="D39" s="798">
        <v>58.2</v>
      </c>
      <c r="E39" s="798">
        <v>57.3</v>
      </c>
      <c r="F39" s="798">
        <v>76.900000000000006</v>
      </c>
      <c r="G39" s="145"/>
      <c r="H39" s="798">
        <v>36.9</v>
      </c>
      <c r="I39" s="798">
        <v>52.7</v>
      </c>
      <c r="J39" s="798">
        <v>51.6</v>
      </c>
      <c r="K39" s="798">
        <v>50.8</v>
      </c>
      <c r="L39" s="798">
        <v>70.400000000000006</v>
      </c>
      <c r="M39" s="145"/>
      <c r="N39" s="798">
        <v>33.5</v>
      </c>
      <c r="O39" s="798">
        <v>49.4</v>
      </c>
      <c r="P39" s="798">
        <v>48.3</v>
      </c>
      <c r="Q39" s="798">
        <v>47.6</v>
      </c>
      <c r="R39" s="798">
        <v>67.2</v>
      </c>
      <c r="V39" s="145"/>
      <c r="AC39" s="145"/>
      <c r="AJ39" s="145"/>
      <c r="AQ39" s="145"/>
    </row>
    <row r="40" spans="1:43">
      <c r="A40" s="935">
        <v>39083</v>
      </c>
      <c r="B40" s="138">
        <v>42.7</v>
      </c>
      <c r="C40" s="138">
        <v>57</v>
      </c>
      <c r="D40" s="138">
        <v>57.6</v>
      </c>
      <c r="E40" s="138">
        <v>57.9</v>
      </c>
      <c r="F40" s="138">
        <v>76</v>
      </c>
      <c r="G40" s="145"/>
      <c r="H40" s="138">
        <v>35.799999999999997</v>
      </c>
      <c r="I40" s="138">
        <v>50.2</v>
      </c>
      <c r="J40" s="138">
        <v>50.9</v>
      </c>
      <c r="K40" s="138">
        <v>51.3</v>
      </c>
      <c r="L40" s="138">
        <v>69.400000000000006</v>
      </c>
      <c r="M40" s="145"/>
      <c r="N40" s="138">
        <v>32.299999999999997</v>
      </c>
      <c r="O40" s="138">
        <v>46.8</v>
      </c>
      <c r="P40" s="138">
        <v>47.6</v>
      </c>
      <c r="Q40" s="138">
        <v>48.1</v>
      </c>
      <c r="R40" s="138">
        <v>66.099999999999994</v>
      </c>
      <c r="V40" s="145"/>
      <c r="AC40" s="145"/>
      <c r="AJ40" s="145"/>
      <c r="AQ40" s="145"/>
    </row>
    <row r="41" spans="1:43">
      <c r="A41" s="934">
        <v>39114</v>
      </c>
      <c r="B41" s="798">
        <v>45.5</v>
      </c>
      <c r="C41" s="798">
        <v>52.8</v>
      </c>
      <c r="D41" s="798">
        <v>55.3</v>
      </c>
      <c r="E41" s="798">
        <v>56</v>
      </c>
      <c r="F41" s="798">
        <v>71.599999999999994</v>
      </c>
      <c r="G41" s="145"/>
      <c r="H41" s="798">
        <v>38.5</v>
      </c>
      <c r="I41" s="798">
        <v>46.2</v>
      </c>
      <c r="J41" s="798">
        <v>48.5</v>
      </c>
      <c r="K41" s="798">
        <v>49.4</v>
      </c>
      <c r="L41" s="798">
        <v>65.099999999999994</v>
      </c>
      <c r="M41" s="145"/>
      <c r="N41" s="798">
        <v>35.1</v>
      </c>
      <c r="O41" s="798">
        <v>42.8</v>
      </c>
      <c r="P41" s="798">
        <v>45.2</v>
      </c>
      <c r="Q41" s="798">
        <v>46.2</v>
      </c>
      <c r="R41" s="798">
        <v>61.8</v>
      </c>
      <c r="V41" s="145"/>
      <c r="AC41" s="145"/>
      <c r="AJ41" s="145"/>
      <c r="AQ41" s="145"/>
    </row>
    <row r="42" spans="1:43">
      <c r="A42" s="935">
        <v>39142</v>
      </c>
      <c r="B42" s="138">
        <v>39.799999999999997</v>
      </c>
      <c r="C42" s="138">
        <v>52</v>
      </c>
      <c r="D42" s="138">
        <v>55</v>
      </c>
      <c r="E42" s="138">
        <v>55.6</v>
      </c>
      <c r="F42" s="138">
        <v>66.5</v>
      </c>
      <c r="G42" s="145"/>
      <c r="H42" s="138">
        <v>32.9</v>
      </c>
      <c r="I42" s="138">
        <v>45.3</v>
      </c>
      <c r="J42" s="138">
        <v>48.2</v>
      </c>
      <c r="K42" s="138">
        <v>49.1</v>
      </c>
      <c r="L42" s="138">
        <v>60</v>
      </c>
      <c r="M42" s="145"/>
      <c r="N42" s="138">
        <v>29.5</v>
      </c>
      <c r="O42" s="138">
        <v>42</v>
      </c>
      <c r="P42" s="138">
        <v>44.9</v>
      </c>
      <c r="Q42" s="138">
        <v>45.9</v>
      </c>
      <c r="R42" s="138">
        <v>56.7</v>
      </c>
      <c r="V42" s="145"/>
      <c r="AC42" s="145"/>
      <c r="AJ42" s="145"/>
      <c r="AQ42" s="145"/>
    </row>
    <row r="43" spans="1:43">
      <c r="A43" s="934">
        <v>39173</v>
      </c>
      <c r="B43" s="798">
        <v>38.299999999999997</v>
      </c>
      <c r="C43" s="798">
        <v>52.1</v>
      </c>
      <c r="D43" s="798">
        <v>55.6</v>
      </c>
      <c r="E43" s="798">
        <v>56.6</v>
      </c>
      <c r="F43" s="798">
        <v>62.7</v>
      </c>
      <c r="G43" s="145"/>
      <c r="H43" s="798">
        <v>31.4</v>
      </c>
      <c r="I43" s="798">
        <v>45.4</v>
      </c>
      <c r="J43" s="798">
        <v>48.8</v>
      </c>
      <c r="K43" s="798">
        <v>50</v>
      </c>
      <c r="L43" s="798">
        <v>56.1</v>
      </c>
      <c r="M43" s="145"/>
      <c r="N43" s="798">
        <v>28</v>
      </c>
      <c r="O43" s="798">
        <v>42.1</v>
      </c>
      <c r="P43" s="798">
        <v>45.5</v>
      </c>
      <c r="Q43" s="798">
        <v>46.7</v>
      </c>
      <c r="R43" s="798">
        <v>52.8</v>
      </c>
      <c r="V43" s="145"/>
      <c r="AC43" s="145"/>
      <c r="AJ43" s="145"/>
      <c r="AQ43" s="145"/>
    </row>
    <row r="44" spans="1:43">
      <c r="A44" s="935">
        <v>39203</v>
      </c>
      <c r="B44" s="138">
        <v>38.1</v>
      </c>
      <c r="C44" s="138">
        <v>52.9</v>
      </c>
      <c r="D44" s="138">
        <v>56.4</v>
      </c>
      <c r="E44" s="138">
        <v>57.3</v>
      </c>
      <c r="F44" s="138">
        <v>60.7</v>
      </c>
      <c r="G44" s="145"/>
      <c r="H44" s="138">
        <v>31.1</v>
      </c>
      <c r="I44" s="138">
        <v>46.2</v>
      </c>
      <c r="J44" s="138">
        <v>49.7</v>
      </c>
      <c r="K44" s="138">
        <v>50.8</v>
      </c>
      <c r="L44" s="138">
        <v>54.1</v>
      </c>
      <c r="M44" s="145"/>
      <c r="N44" s="138">
        <v>27.7</v>
      </c>
      <c r="O44" s="138">
        <v>43</v>
      </c>
      <c r="P44" s="138">
        <v>46.4</v>
      </c>
      <c r="Q44" s="138">
        <v>47.5</v>
      </c>
      <c r="R44" s="138">
        <v>50.9</v>
      </c>
      <c r="V44" s="145"/>
      <c r="AC44" s="145"/>
      <c r="AJ44" s="145"/>
      <c r="AQ44" s="145"/>
    </row>
    <row r="45" spans="1:43">
      <c r="A45" s="934">
        <v>39234</v>
      </c>
      <c r="B45" s="798">
        <v>42.7</v>
      </c>
      <c r="C45" s="798">
        <v>54.2</v>
      </c>
      <c r="D45" s="798">
        <v>57.8</v>
      </c>
      <c r="E45" s="798">
        <v>58.7</v>
      </c>
      <c r="F45" s="798">
        <v>58.8</v>
      </c>
      <c r="G45" s="145"/>
      <c r="H45" s="798">
        <v>35.799999999999997</v>
      </c>
      <c r="I45" s="798">
        <v>47.7</v>
      </c>
      <c r="J45" s="798">
        <v>51.1</v>
      </c>
      <c r="K45" s="798">
        <v>52.2</v>
      </c>
      <c r="L45" s="798">
        <v>52.4</v>
      </c>
      <c r="M45" s="145"/>
      <c r="N45" s="798">
        <v>32.4</v>
      </c>
      <c r="O45" s="798">
        <v>44.5</v>
      </c>
      <c r="P45" s="798">
        <v>47.8</v>
      </c>
      <c r="Q45" s="798">
        <v>49</v>
      </c>
      <c r="R45" s="798">
        <v>49.2</v>
      </c>
      <c r="V45" s="145"/>
      <c r="AC45" s="145"/>
      <c r="AJ45" s="145"/>
      <c r="AQ45" s="145"/>
    </row>
    <row r="46" spans="1:43">
      <c r="A46" s="935">
        <v>39264</v>
      </c>
      <c r="B46" s="138">
        <v>38.1</v>
      </c>
      <c r="C46" s="138">
        <v>56.3</v>
      </c>
      <c r="D46" s="138">
        <v>59.4</v>
      </c>
      <c r="E46" s="138">
        <v>60.5</v>
      </c>
      <c r="F46" s="138">
        <v>58.8</v>
      </c>
      <c r="G46" s="145"/>
      <c r="H46" s="138">
        <v>31.3</v>
      </c>
      <c r="I46" s="138">
        <v>49.8</v>
      </c>
      <c r="J46" s="138">
        <v>52.8</v>
      </c>
      <c r="K46" s="138">
        <v>54</v>
      </c>
      <c r="L46" s="138">
        <v>52.5</v>
      </c>
      <c r="M46" s="145"/>
      <c r="N46" s="138">
        <v>28</v>
      </c>
      <c r="O46" s="138">
        <v>46.6</v>
      </c>
      <c r="P46" s="138">
        <v>49.6</v>
      </c>
      <c r="Q46" s="138">
        <v>50.7</v>
      </c>
      <c r="R46" s="138">
        <v>49.3</v>
      </c>
      <c r="V46" s="145"/>
      <c r="AC46" s="145"/>
      <c r="AJ46" s="145"/>
      <c r="AQ46" s="145"/>
    </row>
    <row r="47" spans="1:43">
      <c r="A47" s="934">
        <v>39295</v>
      </c>
      <c r="B47" s="798">
        <v>42.5</v>
      </c>
      <c r="C47" s="798">
        <v>57.1</v>
      </c>
      <c r="D47" s="798">
        <v>60</v>
      </c>
      <c r="E47" s="798">
        <v>61</v>
      </c>
      <c r="F47" s="798">
        <v>58.9</v>
      </c>
      <c r="G47" s="145"/>
      <c r="H47" s="798">
        <v>35.799999999999997</v>
      </c>
      <c r="I47" s="798">
        <v>50.6</v>
      </c>
      <c r="J47" s="798">
        <v>53.5</v>
      </c>
      <c r="K47" s="798">
        <v>54.5</v>
      </c>
      <c r="L47" s="798">
        <v>52.6</v>
      </c>
      <c r="M47" s="145"/>
      <c r="N47" s="798">
        <v>32.5</v>
      </c>
      <c r="O47" s="798">
        <v>47.4</v>
      </c>
      <c r="P47" s="798">
        <v>50.3</v>
      </c>
      <c r="Q47" s="798">
        <v>51.3</v>
      </c>
      <c r="R47" s="798">
        <v>49.5</v>
      </c>
      <c r="V47" s="145"/>
      <c r="AC47" s="145"/>
      <c r="AJ47" s="145"/>
      <c r="AQ47" s="145"/>
    </row>
    <row r="48" spans="1:43">
      <c r="A48" s="935">
        <v>39326</v>
      </c>
      <c r="B48" s="138">
        <v>47.5</v>
      </c>
      <c r="C48" s="138">
        <v>58.3</v>
      </c>
      <c r="D48" s="138">
        <v>60.8</v>
      </c>
      <c r="E48" s="138">
        <v>61.6</v>
      </c>
      <c r="F48" s="138">
        <v>59.6</v>
      </c>
      <c r="G48" s="145"/>
      <c r="H48" s="138">
        <v>40.700000000000003</v>
      </c>
      <c r="I48" s="138">
        <v>51.8</v>
      </c>
      <c r="J48" s="138">
        <v>54.2</v>
      </c>
      <c r="K48" s="138">
        <v>55.1</v>
      </c>
      <c r="L48" s="138">
        <v>53.2</v>
      </c>
      <c r="M48" s="145"/>
      <c r="N48" s="138">
        <v>37.4</v>
      </c>
      <c r="O48" s="138">
        <v>48.6</v>
      </c>
      <c r="P48" s="138">
        <v>50.9</v>
      </c>
      <c r="Q48" s="138">
        <v>51.8</v>
      </c>
      <c r="R48" s="138">
        <v>50.1</v>
      </c>
      <c r="V48" s="145"/>
      <c r="AC48" s="145"/>
      <c r="AJ48" s="145"/>
      <c r="AQ48" s="145"/>
    </row>
    <row r="49" spans="1:43">
      <c r="A49" s="934">
        <v>39356</v>
      </c>
      <c r="B49" s="798">
        <v>52.3</v>
      </c>
      <c r="C49" s="798">
        <v>59.9</v>
      </c>
      <c r="D49" s="798">
        <v>61.9</v>
      </c>
      <c r="E49" s="798">
        <v>62.6</v>
      </c>
      <c r="F49" s="798">
        <v>61.3</v>
      </c>
      <c r="G49" s="145"/>
      <c r="H49" s="798">
        <v>45.5</v>
      </c>
      <c r="I49" s="798">
        <v>53.3</v>
      </c>
      <c r="J49" s="798">
        <v>55.3</v>
      </c>
      <c r="K49" s="798">
        <v>56</v>
      </c>
      <c r="L49" s="798">
        <v>54.8</v>
      </c>
      <c r="M49" s="145"/>
      <c r="N49" s="798">
        <v>42.2</v>
      </c>
      <c r="O49" s="798">
        <v>50.1</v>
      </c>
      <c r="P49" s="798">
        <v>52</v>
      </c>
      <c r="Q49" s="798">
        <v>52.8</v>
      </c>
      <c r="R49" s="798">
        <v>51.6</v>
      </c>
      <c r="V49" s="145"/>
      <c r="AC49" s="145"/>
      <c r="AJ49" s="145"/>
      <c r="AQ49" s="145"/>
    </row>
    <row r="50" spans="1:43">
      <c r="A50" s="935">
        <v>39387</v>
      </c>
      <c r="B50" s="138">
        <v>60.2</v>
      </c>
      <c r="C50" s="138">
        <v>64.3</v>
      </c>
      <c r="D50" s="138">
        <v>65</v>
      </c>
      <c r="E50" s="138">
        <v>65.3</v>
      </c>
      <c r="F50" s="138">
        <v>64.900000000000006</v>
      </c>
      <c r="G50" s="145"/>
      <c r="H50" s="138">
        <v>53.4</v>
      </c>
      <c r="I50" s="138">
        <v>57.8</v>
      </c>
      <c r="J50" s="138">
        <v>58.4</v>
      </c>
      <c r="K50" s="138">
        <v>58.8</v>
      </c>
      <c r="L50" s="138">
        <v>58.5</v>
      </c>
      <c r="M50" s="145"/>
      <c r="N50" s="138">
        <v>50.1</v>
      </c>
      <c r="O50" s="138">
        <v>54.6</v>
      </c>
      <c r="P50" s="138">
        <v>55.1</v>
      </c>
      <c r="Q50" s="138">
        <v>55.5</v>
      </c>
      <c r="R50" s="138">
        <v>55.3</v>
      </c>
      <c r="V50" s="145"/>
      <c r="AC50" s="145"/>
      <c r="AJ50" s="145"/>
      <c r="AQ50" s="145"/>
    </row>
    <row r="51" spans="1:43">
      <c r="A51" s="934">
        <v>39417</v>
      </c>
      <c r="B51" s="798">
        <v>61</v>
      </c>
      <c r="C51" s="798">
        <v>66.900000000000006</v>
      </c>
      <c r="D51" s="798">
        <v>66.7</v>
      </c>
      <c r="E51" s="798">
        <v>67.099999999999994</v>
      </c>
      <c r="F51" s="798">
        <v>68.3</v>
      </c>
      <c r="G51" s="145"/>
      <c r="H51" s="798">
        <v>54</v>
      </c>
      <c r="I51" s="798">
        <v>60.2</v>
      </c>
      <c r="J51" s="798">
        <v>60.2</v>
      </c>
      <c r="K51" s="798">
        <v>60.4</v>
      </c>
      <c r="L51" s="798">
        <v>61.7</v>
      </c>
      <c r="M51" s="145"/>
      <c r="N51" s="798">
        <v>50.7</v>
      </c>
      <c r="O51" s="798">
        <v>56.9</v>
      </c>
      <c r="P51" s="798">
        <v>56.9</v>
      </c>
      <c r="Q51" s="798">
        <v>57.1</v>
      </c>
      <c r="R51" s="798">
        <v>58.5</v>
      </c>
      <c r="V51" s="145"/>
      <c r="AC51" s="145"/>
      <c r="AJ51" s="145"/>
      <c r="AQ51" s="145"/>
    </row>
    <row r="52" spans="1:43">
      <c r="A52" s="935">
        <v>39448</v>
      </c>
      <c r="B52" s="138">
        <v>61.7</v>
      </c>
      <c r="C52" s="138">
        <v>68.3</v>
      </c>
      <c r="D52" s="138">
        <v>67.900000000000006</v>
      </c>
      <c r="E52" s="138">
        <v>68.2</v>
      </c>
      <c r="F52" s="138">
        <v>72.099999999999994</v>
      </c>
      <c r="G52" s="145"/>
      <c r="H52" s="138">
        <v>54.8</v>
      </c>
      <c r="I52" s="138">
        <v>61.6</v>
      </c>
      <c r="J52" s="138">
        <v>61.4</v>
      </c>
      <c r="K52" s="138">
        <v>61.5</v>
      </c>
      <c r="L52" s="138">
        <v>65.5</v>
      </c>
      <c r="M52" s="145"/>
      <c r="N52" s="138">
        <v>51.4</v>
      </c>
      <c r="O52" s="138">
        <v>58.3</v>
      </c>
      <c r="P52" s="138">
        <v>58.2</v>
      </c>
      <c r="Q52" s="138">
        <v>58.2</v>
      </c>
      <c r="R52" s="138">
        <v>62.2</v>
      </c>
      <c r="V52" s="145"/>
      <c r="AC52" s="145"/>
      <c r="AJ52" s="145"/>
      <c r="AQ52" s="145"/>
    </row>
    <row r="53" spans="1:43">
      <c r="A53" s="934">
        <v>39479</v>
      </c>
      <c r="B53" s="798">
        <v>55.6</v>
      </c>
      <c r="C53" s="798">
        <v>67.099999999999994</v>
      </c>
      <c r="D53" s="798">
        <v>67.599999999999994</v>
      </c>
      <c r="E53" s="798">
        <v>68.2</v>
      </c>
      <c r="F53" s="798">
        <v>73</v>
      </c>
      <c r="G53" s="145"/>
      <c r="H53" s="798">
        <v>48.7</v>
      </c>
      <c r="I53" s="798">
        <v>60.4</v>
      </c>
      <c r="J53" s="798">
        <v>61.1</v>
      </c>
      <c r="K53" s="798">
        <v>61.5</v>
      </c>
      <c r="L53" s="798">
        <v>66.400000000000006</v>
      </c>
      <c r="M53" s="145"/>
      <c r="N53" s="798">
        <v>45.3</v>
      </c>
      <c r="O53" s="798">
        <v>57.1</v>
      </c>
      <c r="P53" s="798">
        <v>57.9</v>
      </c>
      <c r="Q53" s="798">
        <v>58.2</v>
      </c>
      <c r="R53" s="798">
        <v>63.1</v>
      </c>
      <c r="V53" s="145"/>
      <c r="AC53" s="145"/>
      <c r="AJ53" s="145"/>
      <c r="AQ53" s="145"/>
    </row>
    <row r="54" spans="1:43">
      <c r="A54" s="935">
        <v>39508</v>
      </c>
      <c r="B54" s="138">
        <v>48.5</v>
      </c>
      <c r="C54" s="138">
        <v>66.2</v>
      </c>
      <c r="D54" s="138">
        <v>67.7</v>
      </c>
      <c r="E54" s="138">
        <v>68.400000000000006</v>
      </c>
      <c r="F54" s="138">
        <v>73.2</v>
      </c>
      <c r="G54" s="145"/>
      <c r="H54" s="138">
        <v>41.6</v>
      </c>
      <c r="I54" s="138">
        <v>59.5</v>
      </c>
      <c r="J54" s="138">
        <v>61.3</v>
      </c>
      <c r="K54" s="138">
        <v>61.8</v>
      </c>
      <c r="L54" s="138">
        <v>66.599999999999994</v>
      </c>
      <c r="M54" s="145"/>
      <c r="N54" s="138">
        <v>38.299999999999997</v>
      </c>
      <c r="O54" s="138">
        <v>56.2</v>
      </c>
      <c r="P54" s="138">
        <v>58.1</v>
      </c>
      <c r="Q54" s="138">
        <v>58.5</v>
      </c>
      <c r="R54" s="138">
        <v>63.3</v>
      </c>
      <c r="V54" s="145"/>
      <c r="AC54" s="145"/>
      <c r="AJ54" s="145"/>
      <c r="AQ54" s="145"/>
    </row>
    <row r="55" spans="1:43">
      <c r="A55" s="934">
        <v>39539</v>
      </c>
      <c r="B55" s="798">
        <v>59.5</v>
      </c>
      <c r="C55" s="798">
        <v>66.099999999999994</v>
      </c>
      <c r="D55" s="798">
        <v>67.599999999999994</v>
      </c>
      <c r="E55" s="798">
        <v>68.2</v>
      </c>
      <c r="F55" s="798">
        <v>71.7</v>
      </c>
      <c r="G55" s="145"/>
      <c r="H55" s="798">
        <v>52.6</v>
      </c>
      <c r="I55" s="798">
        <v>59.4</v>
      </c>
      <c r="J55" s="798">
        <v>61.1</v>
      </c>
      <c r="K55" s="798">
        <v>61.7</v>
      </c>
      <c r="L55" s="798">
        <v>65</v>
      </c>
      <c r="M55" s="145"/>
      <c r="N55" s="798">
        <v>49.2</v>
      </c>
      <c r="O55" s="798">
        <v>56.1</v>
      </c>
      <c r="P55" s="798">
        <v>57.9</v>
      </c>
      <c r="Q55" s="798">
        <v>58.4</v>
      </c>
      <c r="R55" s="798">
        <v>61.7</v>
      </c>
      <c r="V55" s="145"/>
      <c r="AC55" s="145"/>
      <c r="AJ55" s="145"/>
      <c r="AQ55" s="145"/>
    </row>
    <row r="56" spans="1:43">
      <c r="A56" s="935">
        <v>39569</v>
      </c>
      <c r="B56" s="138">
        <v>54.7</v>
      </c>
      <c r="C56" s="138">
        <v>67.7</v>
      </c>
      <c r="D56" s="138">
        <v>68.8</v>
      </c>
      <c r="E56" s="138">
        <v>69.599999999999994</v>
      </c>
      <c r="F56" s="138">
        <v>70.7</v>
      </c>
      <c r="G56" s="145"/>
      <c r="H56" s="138">
        <v>47.9</v>
      </c>
      <c r="I56" s="138">
        <v>61.1</v>
      </c>
      <c r="J56" s="138">
        <v>62.4</v>
      </c>
      <c r="K56" s="138">
        <v>63.2</v>
      </c>
      <c r="L56" s="138">
        <v>64.099999999999994</v>
      </c>
      <c r="M56" s="145"/>
      <c r="N56" s="138">
        <v>44.5</v>
      </c>
      <c r="O56" s="138">
        <v>57.9</v>
      </c>
      <c r="P56" s="138">
        <v>59.2</v>
      </c>
      <c r="Q56" s="138">
        <v>60</v>
      </c>
      <c r="R56" s="138">
        <v>60.9</v>
      </c>
      <c r="V56" s="145"/>
      <c r="AC56" s="145"/>
      <c r="AJ56" s="145"/>
      <c r="AQ56" s="145"/>
    </row>
    <row r="57" spans="1:43">
      <c r="A57" s="934">
        <v>39600</v>
      </c>
      <c r="B57" s="798">
        <v>73.400000000000006</v>
      </c>
      <c r="C57" s="798">
        <v>74.2</v>
      </c>
      <c r="D57" s="798">
        <v>74.3</v>
      </c>
      <c r="E57" s="798">
        <v>74.599999999999994</v>
      </c>
      <c r="F57" s="798">
        <v>70.7</v>
      </c>
      <c r="G57" s="145"/>
      <c r="H57" s="798">
        <v>66.599999999999994</v>
      </c>
      <c r="I57" s="798">
        <v>67.7</v>
      </c>
      <c r="J57" s="798">
        <v>68</v>
      </c>
      <c r="K57" s="798">
        <v>68.2</v>
      </c>
      <c r="L57" s="798">
        <v>64.099999999999994</v>
      </c>
      <c r="M57" s="145"/>
      <c r="N57" s="798">
        <v>63.2</v>
      </c>
      <c r="O57" s="798">
        <v>64.5</v>
      </c>
      <c r="P57" s="798">
        <v>64.900000000000006</v>
      </c>
      <c r="Q57" s="798">
        <v>65</v>
      </c>
      <c r="R57" s="798">
        <v>60.9</v>
      </c>
      <c r="V57" s="145"/>
      <c r="AC57" s="145"/>
      <c r="AJ57" s="145"/>
      <c r="AQ57" s="145"/>
    </row>
    <row r="58" spans="1:43">
      <c r="A58" s="935">
        <v>39630</v>
      </c>
      <c r="B58" s="138">
        <v>75.8</v>
      </c>
      <c r="C58" s="138">
        <v>81.599999999999994</v>
      </c>
      <c r="D58" s="138">
        <v>81</v>
      </c>
      <c r="E58" s="138">
        <v>80.900000000000006</v>
      </c>
      <c r="F58" s="138">
        <v>75.5</v>
      </c>
      <c r="G58" s="145"/>
      <c r="H58" s="138">
        <v>68.900000000000006</v>
      </c>
      <c r="I58" s="138">
        <v>75</v>
      </c>
      <c r="J58" s="138">
        <v>74.5</v>
      </c>
      <c r="K58" s="138">
        <v>74.2</v>
      </c>
      <c r="L58" s="138">
        <v>68.8</v>
      </c>
      <c r="M58" s="145"/>
      <c r="N58" s="138">
        <v>65.5</v>
      </c>
      <c r="O58" s="138">
        <v>71.7</v>
      </c>
      <c r="P58" s="138">
        <v>71.400000000000006</v>
      </c>
      <c r="Q58" s="138">
        <v>71</v>
      </c>
      <c r="R58" s="138">
        <v>65.599999999999994</v>
      </c>
      <c r="V58" s="145"/>
      <c r="AC58" s="145"/>
      <c r="AJ58" s="145"/>
      <c r="AQ58" s="145"/>
    </row>
    <row r="59" spans="1:43">
      <c r="A59" s="934">
        <v>39661</v>
      </c>
      <c r="B59" s="798">
        <v>81.400000000000006</v>
      </c>
      <c r="C59" s="798">
        <v>82.7</v>
      </c>
      <c r="D59" s="798">
        <v>81.599999999999994</v>
      </c>
      <c r="E59" s="798">
        <v>81.3</v>
      </c>
      <c r="F59" s="798">
        <v>81</v>
      </c>
      <c r="G59" s="145"/>
      <c r="H59" s="798">
        <v>74.5</v>
      </c>
      <c r="I59" s="798">
        <v>76</v>
      </c>
      <c r="J59" s="798">
        <v>75.099999999999994</v>
      </c>
      <c r="K59" s="798">
        <v>74.599999999999994</v>
      </c>
      <c r="L59" s="798">
        <v>74.400000000000006</v>
      </c>
      <c r="M59" s="145"/>
      <c r="N59" s="798">
        <v>71.099999999999994</v>
      </c>
      <c r="O59" s="798">
        <v>72.8</v>
      </c>
      <c r="P59" s="798">
        <v>72</v>
      </c>
      <c r="Q59" s="798">
        <v>71.400000000000006</v>
      </c>
      <c r="R59" s="798">
        <v>71.099999999999994</v>
      </c>
      <c r="V59" s="145"/>
      <c r="AC59" s="145"/>
      <c r="AJ59" s="145"/>
      <c r="AQ59" s="145"/>
    </row>
    <row r="60" spans="1:43">
      <c r="A60" s="935">
        <v>39692</v>
      </c>
      <c r="B60" s="138">
        <v>90.4</v>
      </c>
      <c r="C60" s="138">
        <v>85.7</v>
      </c>
      <c r="D60" s="138">
        <v>84</v>
      </c>
      <c r="E60" s="138">
        <v>82.9</v>
      </c>
      <c r="F60" s="138">
        <v>84.9</v>
      </c>
      <c r="G60" s="145"/>
      <c r="H60" s="138">
        <v>83.5</v>
      </c>
      <c r="I60" s="138">
        <v>79.099999999999994</v>
      </c>
      <c r="J60" s="138">
        <v>77.5</v>
      </c>
      <c r="K60" s="138">
        <v>76.5</v>
      </c>
      <c r="L60" s="138">
        <v>78.2</v>
      </c>
      <c r="M60" s="145"/>
      <c r="N60" s="138">
        <v>80.099999999999994</v>
      </c>
      <c r="O60" s="138">
        <v>75.900000000000006</v>
      </c>
      <c r="P60" s="138">
        <v>74.5</v>
      </c>
      <c r="Q60" s="138">
        <v>73.3</v>
      </c>
      <c r="R60" s="138">
        <v>75</v>
      </c>
      <c r="V60" s="145"/>
      <c r="AC60" s="145"/>
      <c r="AJ60" s="145"/>
      <c r="AQ60" s="145"/>
    </row>
    <row r="61" spans="1:43">
      <c r="A61" s="934">
        <v>39722</v>
      </c>
      <c r="B61" s="798">
        <v>79.8</v>
      </c>
      <c r="C61" s="798">
        <v>85.1</v>
      </c>
      <c r="D61" s="798">
        <v>82.8</v>
      </c>
      <c r="E61" s="798">
        <v>81.7</v>
      </c>
      <c r="F61" s="798">
        <v>91.9</v>
      </c>
      <c r="G61" s="145"/>
      <c r="H61" s="798">
        <v>72.900000000000006</v>
      </c>
      <c r="I61" s="798">
        <v>78.400000000000006</v>
      </c>
      <c r="J61" s="798">
        <v>76.2</v>
      </c>
      <c r="K61" s="798">
        <v>75.2</v>
      </c>
      <c r="L61" s="798">
        <v>85.2</v>
      </c>
      <c r="M61" s="145"/>
      <c r="N61" s="798">
        <v>69.5</v>
      </c>
      <c r="O61" s="798">
        <v>75.099999999999994</v>
      </c>
      <c r="P61" s="798">
        <v>73</v>
      </c>
      <c r="Q61" s="798">
        <v>72</v>
      </c>
      <c r="R61" s="798">
        <v>82</v>
      </c>
      <c r="V61" s="145"/>
      <c r="AC61" s="145"/>
      <c r="AJ61" s="145"/>
      <c r="AQ61" s="145"/>
    </row>
    <row r="62" spans="1:43">
      <c r="A62" s="935">
        <v>39753</v>
      </c>
      <c r="B62" s="138">
        <v>73.900000000000006</v>
      </c>
      <c r="C62" s="138">
        <v>78.900000000000006</v>
      </c>
      <c r="D62" s="138">
        <v>77.5</v>
      </c>
      <c r="E62" s="138">
        <v>76.900000000000006</v>
      </c>
      <c r="F62" s="138">
        <v>92.6</v>
      </c>
      <c r="G62" s="145"/>
      <c r="H62" s="138">
        <v>67</v>
      </c>
      <c r="I62" s="138">
        <v>72.099999999999994</v>
      </c>
      <c r="J62" s="138">
        <v>70.8</v>
      </c>
      <c r="K62" s="138">
        <v>70.3</v>
      </c>
      <c r="L62" s="138">
        <v>85.8</v>
      </c>
      <c r="M62" s="145"/>
      <c r="N62" s="138">
        <v>63.6</v>
      </c>
      <c r="O62" s="138">
        <v>68.8</v>
      </c>
      <c r="P62" s="138">
        <v>67.7</v>
      </c>
      <c r="Q62" s="138">
        <v>67.099999999999994</v>
      </c>
      <c r="R62" s="138">
        <v>82.6</v>
      </c>
      <c r="V62" s="145"/>
      <c r="AC62" s="145"/>
      <c r="AJ62" s="145"/>
      <c r="AQ62" s="145"/>
    </row>
    <row r="63" spans="1:43">
      <c r="A63" s="934">
        <v>39783</v>
      </c>
      <c r="B63" s="798">
        <v>68.400000000000006</v>
      </c>
      <c r="C63" s="798">
        <v>72.099999999999994</v>
      </c>
      <c r="D63" s="798">
        <v>70.900000000000006</v>
      </c>
      <c r="E63" s="798">
        <v>70</v>
      </c>
      <c r="F63" s="798">
        <v>91.9</v>
      </c>
      <c r="G63" s="145"/>
      <c r="H63" s="798">
        <v>61.5</v>
      </c>
      <c r="I63" s="798">
        <v>65.400000000000006</v>
      </c>
      <c r="J63" s="798">
        <v>64.3</v>
      </c>
      <c r="K63" s="798">
        <v>63.5</v>
      </c>
      <c r="L63" s="798">
        <v>85.1</v>
      </c>
      <c r="M63" s="145"/>
      <c r="N63" s="798">
        <v>58</v>
      </c>
      <c r="O63" s="798">
        <v>62.1</v>
      </c>
      <c r="P63" s="798">
        <v>61.1</v>
      </c>
      <c r="Q63" s="798">
        <v>60.2</v>
      </c>
      <c r="R63" s="798">
        <v>81.900000000000006</v>
      </c>
      <c r="V63" s="145"/>
      <c r="AC63" s="145"/>
      <c r="AJ63" s="145"/>
      <c r="AQ63" s="145"/>
    </row>
    <row r="64" spans="1:43">
      <c r="A64" s="935">
        <v>39814</v>
      </c>
      <c r="B64" s="138">
        <v>64.400000000000006</v>
      </c>
      <c r="C64" s="138">
        <v>68.7</v>
      </c>
      <c r="D64" s="138">
        <v>67.900000000000006</v>
      </c>
      <c r="E64" s="138">
        <v>67.5</v>
      </c>
      <c r="F64" s="138">
        <v>89.8</v>
      </c>
      <c r="G64" s="145"/>
      <c r="H64" s="138">
        <v>57.4</v>
      </c>
      <c r="I64" s="138">
        <v>62</v>
      </c>
      <c r="J64" s="138">
        <v>61.4</v>
      </c>
      <c r="K64" s="138">
        <v>60.9</v>
      </c>
      <c r="L64" s="138">
        <v>82.9</v>
      </c>
      <c r="M64" s="145"/>
      <c r="N64" s="138">
        <v>54</v>
      </c>
      <c r="O64" s="138">
        <v>58.7</v>
      </c>
      <c r="P64" s="138">
        <v>58.2</v>
      </c>
      <c r="Q64" s="138">
        <v>57.6</v>
      </c>
      <c r="R64" s="138">
        <v>79.599999999999994</v>
      </c>
      <c r="V64" s="145"/>
      <c r="AC64" s="145"/>
      <c r="AJ64" s="145"/>
      <c r="AQ64" s="145"/>
    </row>
    <row r="65" spans="1:43">
      <c r="A65" s="934">
        <v>39845</v>
      </c>
      <c r="B65" s="798">
        <v>62.1</v>
      </c>
      <c r="C65" s="798">
        <v>65.099999999999994</v>
      </c>
      <c r="D65" s="798">
        <v>64</v>
      </c>
      <c r="E65" s="798">
        <v>63.5</v>
      </c>
      <c r="F65" s="798">
        <v>86.8</v>
      </c>
      <c r="G65" s="145"/>
      <c r="H65" s="798">
        <v>55.1</v>
      </c>
      <c r="I65" s="798">
        <v>58.4</v>
      </c>
      <c r="J65" s="798">
        <v>57.4</v>
      </c>
      <c r="K65" s="798">
        <v>56.9</v>
      </c>
      <c r="L65" s="798">
        <v>80</v>
      </c>
      <c r="M65" s="145"/>
      <c r="N65" s="798">
        <v>51.7</v>
      </c>
      <c r="O65" s="798">
        <v>55.1</v>
      </c>
      <c r="P65" s="798">
        <v>54.2</v>
      </c>
      <c r="Q65" s="798">
        <v>53.7</v>
      </c>
      <c r="R65" s="798">
        <v>76.8</v>
      </c>
      <c r="V65" s="145"/>
      <c r="AC65" s="145"/>
      <c r="AJ65" s="145"/>
      <c r="AQ65" s="145"/>
    </row>
    <row r="66" spans="1:43">
      <c r="A66" s="935">
        <v>39873</v>
      </c>
      <c r="B66" s="138">
        <v>59.8</v>
      </c>
      <c r="C66" s="138">
        <v>61.1</v>
      </c>
      <c r="D66" s="138">
        <v>60.9</v>
      </c>
      <c r="E66" s="138">
        <v>60.6</v>
      </c>
      <c r="F66" s="138">
        <v>83.3</v>
      </c>
      <c r="G66" s="145"/>
      <c r="H66" s="138">
        <v>52.8</v>
      </c>
      <c r="I66" s="138">
        <v>54.4</v>
      </c>
      <c r="J66" s="138">
        <v>54.3</v>
      </c>
      <c r="K66" s="138">
        <v>54</v>
      </c>
      <c r="L66" s="138">
        <v>76.599999999999994</v>
      </c>
      <c r="M66" s="145"/>
      <c r="N66" s="138">
        <v>49.4</v>
      </c>
      <c r="O66" s="138">
        <v>51.1</v>
      </c>
      <c r="P66" s="138">
        <v>51</v>
      </c>
      <c r="Q66" s="138">
        <v>50.8</v>
      </c>
      <c r="R66" s="138">
        <v>73.400000000000006</v>
      </c>
      <c r="V66" s="145"/>
      <c r="AC66" s="145"/>
      <c r="AJ66" s="145"/>
      <c r="AQ66" s="145"/>
    </row>
    <row r="67" spans="1:43">
      <c r="A67" s="934">
        <v>39904</v>
      </c>
      <c r="B67" s="798">
        <v>58</v>
      </c>
      <c r="C67" s="798">
        <v>61.5</v>
      </c>
      <c r="D67" s="798">
        <v>61.3</v>
      </c>
      <c r="E67" s="798">
        <v>61.7</v>
      </c>
      <c r="F67" s="798">
        <v>79</v>
      </c>
      <c r="G67" s="145"/>
      <c r="H67" s="798">
        <v>50.9</v>
      </c>
      <c r="I67" s="798">
        <v>54.8</v>
      </c>
      <c r="J67" s="798">
        <v>54.6</v>
      </c>
      <c r="K67" s="798">
        <v>55.1</v>
      </c>
      <c r="L67" s="798">
        <v>72.3</v>
      </c>
      <c r="M67" s="145"/>
      <c r="N67" s="798">
        <v>47.4</v>
      </c>
      <c r="O67" s="798">
        <v>51.5</v>
      </c>
      <c r="P67" s="798">
        <v>51.3</v>
      </c>
      <c r="Q67" s="798">
        <v>51.7</v>
      </c>
      <c r="R67" s="798">
        <v>69</v>
      </c>
      <c r="V67" s="145"/>
      <c r="AC67" s="145"/>
      <c r="AJ67" s="145"/>
      <c r="AQ67" s="145"/>
    </row>
    <row r="68" spans="1:43">
      <c r="A68" s="935">
        <v>39934</v>
      </c>
      <c r="B68" s="138">
        <v>55.5</v>
      </c>
      <c r="C68" s="138">
        <v>62.5</v>
      </c>
      <c r="D68" s="138">
        <v>62.9</v>
      </c>
      <c r="E68" s="138">
        <v>63.4</v>
      </c>
      <c r="F68" s="138">
        <v>77.2</v>
      </c>
      <c r="G68" s="145"/>
      <c r="H68" s="138">
        <v>48.4</v>
      </c>
      <c r="I68" s="138">
        <v>55.8</v>
      </c>
      <c r="J68" s="138">
        <v>55.9</v>
      </c>
      <c r="K68" s="138">
        <v>56.8</v>
      </c>
      <c r="L68" s="138">
        <v>70.5</v>
      </c>
      <c r="M68" s="145"/>
      <c r="N68" s="138">
        <v>44.9</v>
      </c>
      <c r="O68" s="138">
        <v>52.5</v>
      </c>
      <c r="P68" s="138">
        <v>52.7</v>
      </c>
      <c r="Q68" s="138">
        <v>53.5</v>
      </c>
      <c r="R68" s="138">
        <v>67.2</v>
      </c>
      <c r="V68" s="145"/>
      <c r="AC68" s="145"/>
      <c r="AJ68" s="145"/>
      <c r="AQ68" s="145"/>
    </row>
    <row r="69" spans="1:43">
      <c r="A69" s="934">
        <v>39965</v>
      </c>
      <c r="B69" s="798">
        <v>58.7</v>
      </c>
      <c r="C69" s="798">
        <v>63.7</v>
      </c>
      <c r="D69" s="798">
        <v>64.900000000000006</v>
      </c>
      <c r="E69" s="798">
        <v>65</v>
      </c>
      <c r="F69" s="798">
        <v>76.5</v>
      </c>
      <c r="G69" s="145"/>
      <c r="H69" s="798">
        <v>51.7</v>
      </c>
      <c r="I69" s="798">
        <v>57.1</v>
      </c>
      <c r="J69" s="798">
        <v>57.9</v>
      </c>
      <c r="K69" s="798">
        <v>58.5</v>
      </c>
      <c r="L69" s="798">
        <v>69.8</v>
      </c>
      <c r="M69" s="145"/>
      <c r="N69" s="798">
        <v>48.3</v>
      </c>
      <c r="O69" s="798">
        <v>53.9</v>
      </c>
      <c r="P69" s="798">
        <v>54.6</v>
      </c>
      <c r="Q69" s="798">
        <v>55.2</v>
      </c>
      <c r="R69" s="798">
        <v>66.5</v>
      </c>
      <c r="V69" s="145"/>
      <c r="AC69" s="145"/>
      <c r="AJ69" s="145"/>
      <c r="AQ69" s="145"/>
    </row>
    <row r="70" spans="1:43">
      <c r="A70" s="935">
        <v>39995</v>
      </c>
      <c r="B70" s="138">
        <v>56.9</v>
      </c>
      <c r="C70" s="138">
        <v>64.099999999999994</v>
      </c>
      <c r="D70" s="138">
        <v>64.8</v>
      </c>
      <c r="E70" s="138">
        <v>65.2</v>
      </c>
      <c r="F70" s="138">
        <v>76.3</v>
      </c>
      <c r="G70" s="145"/>
      <c r="H70" s="138">
        <v>49.9</v>
      </c>
      <c r="I70" s="138">
        <v>57.5</v>
      </c>
      <c r="J70" s="138">
        <v>57.8</v>
      </c>
      <c r="K70" s="138">
        <v>58.7</v>
      </c>
      <c r="L70" s="138">
        <v>69.5</v>
      </c>
      <c r="M70" s="145"/>
      <c r="N70" s="138">
        <v>46.5</v>
      </c>
      <c r="O70" s="138">
        <v>54.2</v>
      </c>
      <c r="P70" s="138">
        <v>54.5</v>
      </c>
      <c r="Q70" s="138">
        <v>55.4</v>
      </c>
      <c r="R70" s="138">
        <v>66.2</v>
      </c>
      <c r="V70" s="145"/>
      <c r="AC70" s="145"/>
      <c r="AJ70" s="145"/>
      <c r="AQ70" s="145"/>
    </row>
    <row r="71" spans="1:43">
      <c r="A71" s="934">
        <v>40026</v>
      </c>
      <c r="B71" s="798">
        <v>57.7</v>
      </c>
      <c r="C71" s="798">
        <v>61.6</v>
      </c>
      <c r="D71" s="798">
        <v>63</v>
      </c>
      <c r="E71" s="798">
        <v>63.6</v>
      </c>
      <c r="F71" s="798">
        <v>76.099999999999994</v>
      </c>
      <c r="G71" s="145"/>
      <c r="H71" s="798">
        <v>50.8</v>
      </c>
      <c r="I71" s="798">
        <v>55</v>
      </c>
      <c r="J71" s="798">
        <v>56.1</v>
      </c>
      <c r="K71" s="798">
        <v>57.1</v>
      </c>
      <c r="L71" s="798">
        <v>69.400000000000006</v>
      </c>
      <c r="M71" s="145"/>
      <c r="N71" s="798">
        <v>47.4</v>
      </c>
      <c r="O71" s="798">
        <v>51.9</v>
      </c>
      <c r="P71" s="798">
        <v>52.9</v>
      </c>
      <c r="Q71" s="798">
        <v>53.9</v>
      </c>
      <c r="R71" s="798">
        <v>66.099999999999994</v>
      </c>
      <c r="V71" s="145"/>
      <c r="AC71" s="145"/>
      <c r="AJ71" s="145"/>
      <c r="AQ71" s="145"/>
    </row>
    <row r="72" spans="1:43">
      <c r="A72" s="935">
        <v>40057</v>
      </c>
      <c r="B72" s="138">
        <v>56.7</v>
      </c>
      <c r="C72" s="138">
        <v>59.2</v>
      </c>
      <c r="D72" s="138">
        <v>61.3</v>
      </c>
      <c r="E72" s="138">
        <v>61.9</v>
      </c>
      <c r="F72" s="138">
        <v>76.2</v>
      </c>
      <c r="G72" s="145"/>
      <c r="H72" s="138">
        <v>49.6</v>
      </c>
      <c r="I72" s="138">
        <v>52.4</v>
      </c>
      <c r="J72" s="138">
        <v>54.2</v>
      </c>
      <c r="K72" s="138">
        <v>55.3</v>
      </c>
      <c r="L72" s="138">
        <v>69.400000000000006</v>
      </c>
      <c r="M72" s="145"/>
      <c r="N72" s="138">
        <v>46.2</v>
      </c>
      <c r="O72" s="138">
        <v>49.1</v>
      </c>
      <c r="P72" s="138">
        <v>50.9</v>
      </c>
      <c r="Q72" s="138">
        <v>52</v>
      </c>
      <c r="R72" s="138">
        <v>66.2</v>
      </c>
      <c r="V72" s="145"/>
      <c r="AC72" s="145"/>
      <c r="AJ72" s="145"/>
      <c r="AQ72" s="145"/>
    </row>
    <row r="73" spans="1:43">
      <c r="A73" s="934">
        <v>40087</v>
      </c>
      <c r="B73" s="798">
        <v>56.7</v>
      </c>
      <c r="C73" s="798">
        <v>57.7</v>
      </c>
      <c r="D73" s="798">
        <v>60.2</v>
      </c>
      <c r="E73" s="798">
        <v>60.8</v>
      </c>
      <c r="F73" s="798">
        <v>76.099999999999994</v>
      </c>
      <c r="G73" s="145"/>
      <c r="H73" s="798">
        <v>49.6</v>
      </c>
      <c r="I73" s="798">
        <v>50.7</v>
      </c>
      <c r="J73" s="798">
        <v>53</v>
      </c>
      <c r="K73" s="798">
        <v>54.2</v>
      </c>
      <c r="L73" s="798">
        <v>69.3</v>
      </c>
      <c r="M73" s="145"/>
      <c r="N73" s="798">
        <v>46.2</v>
      </c>
      <c r="O73" s="798">
        <v>47.5</v>
      </c>
      <c r="P73" s="798">
        <v>49.7</v>
      </c>
      <c r="Q73" s="798">
        <v>50.9</v>
      </c>
      <c r="R73" s="798">
        <v>66</v>
      </c>
      <c r="V73" s="145"/>
      <c r="AC73" s="145"/>
      <c r="AJ73" s="145"/>
      <c r="AQ73" s="145"/>
    </row>
    <row r="74" spans="1:43">
      <c r="A74" s="935">
        <v>40118</v>
      </c>
      <c r="B74" s="138">
        <v>58.4</v>
      </c>
      <c r="C74" s="138">
        <v>58.6</v>
      </c>
      <c r="D74" s="138">
        <v>61</v>
      </c>
      <c r="E74" s="138">
        <v>62</v>
      </c>
      <c r="F74" s="138">
        <v>75.7</v>
      </c>
      <c r="G74" s="145"/>
      <c r="H74" s="138">
        <v>51.4</v>
      </c>
      <c r="I74" s="138">
        <v>52</v>
      </c>
      <c r="J74" s="138">
        <v>54.3</v>
      </c>
      <c r="K74" s="138">
        <v>55.5</v>
      </c>
      <c r="L74" s="138">
        <v>68.900000000000006</v>
      </c>
      <c r="M74" s="145"/>
      <c r="N74" s="138">
        <v>48</v>
      </c>
      <c r="O74" s="138">
        <v>48.8</v>
      </c>
      <c r="P74" s="138">
        <v>51.1</v>
      </c>
      <c r="Q74" s="138">
        <v>52.3</v>
      </c>
      <c r="R74" s="138">
        <v>65.7</v>
      </c>
      <c r="V74" s="145"/>
      <c r="AC74" s="145"/>
      <c r="AJ74" s="145"/>
      <c r="AQ74" s="145"/>
    </row>
    <row r="75" spans="1:43">
      <c r="A75" s="934">
        <v>40148</v>
      </c>
      <c r="B75" s="798">
        <v>70.400000000000006</v>
      </c>
      <c r="C75" s="798">
        <v>58.9</v>
      </c>
      <c r="D75" s="798">
        <v>60.8</v>
      </c>
      <c r="E75" s="798">
        <v>62.1</v>
      </c>
      <c r="F75" s="798">
        <v>75.900000000000006</v>
      </c>
      <c r="G75" s="145"/>
      <c r="H75" s="798">
        <v>63.6</v>
      </c>
      <c r="I75" s="798">
        <v>52.4</v>
      </c>
      <c r="J75" s="798">
        <v>54.4</v>
      </c>
      <c r="K75" s="798">
        <v>55.8</v>
      </c>
      <c r="L75" s="798">
        <v>69.2</v>
      </c>
      <c r="M75" s="145"/>
      <c r="N75" s="798">
        <v>60.2</v>
      </c>
      <c r="O75" s="798">
        <v>49.3</v>
      </c>
      <c r="P75" s="798">
        <v>51.3</v>
      </c>
      <c r="Q75" s="798">
        <v>52.7</v>
      </c>
      <c r="R75" s="798">
        <v>65.900000000000006</v>
      </c>
      <c r="V75" s="145"/>
      <c r="AC75" s="145"/>
      <c r="AJ75" s="145"/>
      <c r="AQ75" s="145"/>
    </row>
    <row r="76" spans="1:43">
      <c r="A76" s="935">
        <v>40179</v>
      </c>
      <c r="B76" s="138">
        <v>87.6</v>
      </c>
      <c r="C76" s="138">
        <v>63.8</v>
      </c>
      <c r="D76" s="138">
        <v>64.8</v>
      </c>
      <c r="E76" s="138">
        <v>65.2</v>
      </c>
      <c r="F76" s="138">
        <v>76.7</v>
      </c>
      <c r="G76" s="145"/>
      <c r="H76" s="138">
        <v>80.599999999999994</v>
      </c>
      <c r="I76" s="138">
        <v>57.3</v>
      </c>
      <c r="J76" s="138">
        <v>58.2</v>
      </c>
      <c r="K76" s="138">
        <v>58.8</v>
      </c>
      <c r="L76" s="138">
        <v>69.900000000000006</v>
      </c>
      <c r="M76" s="145"/>
      <c r="N76" s="138">
        <v>77.3</v>
      </c>
      <c r="O76" s="138">
        <v>54.1</v>
      </c>
      <c r="P76" s="138">
        <v>54.9</v>
      </c>
      <c r="Q76" s="138">
        <v>55.7</v>
      </c>
      <c r="R76" s="138">
        <v>66.7</v>
      </c>
      <c r="V76" s="145"/>
      <c r="AC76" s="145"/>
      <c r="AJ76" s="145"/>
      <c r="AQ76" s="145"/>
    </row>
    <row r="77" spans="1:43">
      <c r="A77" s="934">
        <v>40210</v>
      </c>
      <c r="B77" s="798">
        <v>113.7</v>
      </c>
      <c r="C77" s="798">
        <v>67.599999999999994</v>
      </c>
      <c r="D77" s="798">
        <v>66.599999999999994</v>
      </c>
      <c r="E77" s="798">
        <v>66.2</v>
      </c>
      <c r="F77" s="798">
        <v>81.099999999999994</v>
      </c>
      <c r="G77" s="145"/>
      <c r="H77" s="798">
        <v>106.8</v>
      </c>
      <c r="I77" s="798">
        <v>60.9</v>
      </c>
      <c r="J77" s="798">
        <v>60</v>
      </c>
      <c r="K77" s="798">
        <v>59.8</v>
      </c>
      <c r="L77" s="798">
        <v>74.099999999999994</v>
      </c>
      <c r="M77" s="145"/>
      <c r="N77" s="798">
        <v>103.4</v>
      </c>
      <c r="O77" s="798">
        <v>57.7</v>
      </c>
      <c r="P77" s="798">
        <v>56.8</v>
      </c>
      <c r="Q77" s="798">
        <v>56.7</v>
      </c>
      <c r="R77" s="798">
        <v>70.7</v>
      </c>
      <c r="V77" s="145"/>
      <c r="AC77" s="145"/>
      <c r="AJ77" s="145"/>
      <c r="AQ77" s="145"/>
    </row>
    <row r="78" spans="1:43">
      <c r="A78" s="935">
        <v>40238</v>
      </c>
      <c r="B78" s="138">
        <v>77.900000000000006</v>
      </c>
      <c r="C78" s="138">
        <v>69.599999999999994</v>
      </c>
      <c r="D78" s="138">
        <v>67</v>
      </c>
      <c r="E78" s="138">
        <v>65.900000000000006</v>
      </c>
      <c r="F78" s="138">
        <v>86.1</v>
      </c>
      <c r="G78" s="145"/>
      <c r="H78" s="138">
        <v>71</v>
      </c>
      <c r="I78" s="138">
        <v>62.9</v>
      </c>
      <c r="J78" s="138">
        <v>60.4</v>
      </c>
      <c r="K78" s="138">
        <v>59.5</v>
      </c>
      <c r="L78" s="138">
        <v>79</v>
      </c>
      <c r="M78" s="145"/>
      <c r="N78" s="138">
        <v>67.599999999999994</v>
      </c>
      <c r="O78" s="138">
        <v>59.7</v>
      </c>
      <c r="P78" s="138">
        <v>57.1</v>
      </c>
      <c r="Q78" s="138">
        <v>56.4</v>
      </c>
      <c r="R78" s="138">
        <v>75.599999999999994</v>
      </c>
      <c r="V78" s="145"/>
      <c r="AC78" s="145"/>
      <c r="AJ78" s="145"/>
      <c r="AQ78" s="145"/>
    </row>
    <row r="79" spans="1:43">
      <c r="A79" s="934">
        <v>40269</v>
      </c>
      <c r="B79" s="798">
        <v>63.1</v>
      </c>
      <c r="C79" s="798">
        <v>65.900000000000006</v>
      </c>
      <c r="D79" s="798">
        <v>64.099999999999994</v>
      </c>
      <c r="E79" s="798">
        <v>63.5</v>
      </c>
      <c r="F79" s="798">
        <v>87.7</v>
      </c>
      <c r="G79" s="145"/>
      <c r="H79" s="798">
        <v>56.2</v>
      </c>
      <c r="I79" s="798">
        <v>59.3</v>
      </c>
      <c r="J79" s="798">
        <v>57.7</v>
      </c>
      <c r="K79" s="798">
        <v>57.2</v>
      </c>
      <c r="L79" s="798">
        <v>80.7</v>
      </c>
      <c r="M79" s="145"/>
      <c r="N79" s="798">
        <v>52.8</v>
      </c>
      <c r="O79" s="798">
        <v>56</v>
      </c>
      <c r="P79" s="798">
        <v>54.5</v>
      </c>
      <c r="Q79" s="798">
        <v>54.1</v>
      </c>
      <c r="R79" s="798">
        <v>77.3</v>
      </c>
      <c r="V79" s="145"/>
      <c r="AC79" s="145"/>
      <c r="AJ79" s="145"/>
      <c r="AQ79" s="145"/>
    </row>
    <row r="80" spans="1:43">
      <c r="A80" s="935">
        <v>40299</v>
      </c>
      <c r="B80" s="138">
        <v>58.6</v>
      </c>
      <c r="C80" s="138">
        <v>67.900000000000006</v>
      </c>
      <c r="D80" s="138">
        <v>65.900000000000006</v>
      </c>
      <c r="E80" s="138">
        <v>65.3</v>
      </c>
      <c r="F80" s="138">
        <v>87</v>
      </c>
      <c r="G80" s="145"/>
      <c r="H80" s="138">
        <v>51.6</v>
      </c>
      <c r="I80" s="138">
        <v>61.1</v>
      </c>
      <c r="J80" s="138">
        <v>59.3</v>
      </c>
      <c r="K80" s="138">
        <v>58.8</v>
      </c>
      <c r="L80" s="138">
        <v>79.900000000000006</v>
      </c>
      <c r="M80" s="145"/>
      <c r="N80" s="138">
        <v>48.2</v>
      </c>
      <c r="O80" s="138">
        <v>57.9</v>
      </c>
      <c r="P80" s="138">
        <v>56.1</v>
      </c>
      <c r="Q80" s="138">
        <v>55.7</v>
      </c>
      <c r="R80" s="138">
        <v>76.5</v>
      </c>
      <c r="V80" s="145"/>
      <c r="AC80" s="145"/>
      <c r="AJ80" s="145"/>
      <c r="AQ80" s="145"/>
    </row>
    <row r="81" spans="1:43">
      <c r="A81" s="934">
        <v>40330</v>
      </c>
      <c r="B81" s="798">
        <v>60.4</v>
      </c>
      <c r="C81" s="798">
        <v>69.400000000000006</v>
      </c>
      <c r="D81" s="798">
        <v>66.900000000000006</v>
      </c>
      <c r="E81" s="798">
        <v>66</v>
      </c>
      <c r="F81" s="798">
        <v>85.1</v>
      </c>
      <c r="G81" s="145"/>
      <c r="H81" s="798">
        <v>53.4</v>
      </c>
      <c r="I81" s="798">
        <v>62.6</v>
      </c>
      <c r="J81" s="798">
        <v>60.4</v>
      </c>
      <c r="K81" s="798">
        <v>59.4</v>
      </c>
      <c r="L81" s="798">
        <v>77.8</v>
      </c>
      <c r="M81" s="145"/>
      <c r="N81" s="798">
        <v>50</v>
      </c>
      <c r="O81" s="798">
        <v>59.2</v>
      </c>
      <c r="P81" s="798">
        <v>57.1</v>
      </c>
      <c r="Q81" s="798">
        <v>56.1</v>
      </c>
      <c r="R81" s="798">
        <v>74.400000000000006</v>
      </c>
      <c r="V81" s="145"/>
      <c r="AC81" s="145"/>
      <c r="AJ81" s="145"/>
      <c r="AQ81" s="145"/>
    </row>
    <row r="82" spans="1:43">
      <c r="A82" s="935">
        <v>40360</v>
      </c>
      <c r="B82" s="138">
        <v>63.4</v>
      </c>
      <c r="C82" s="138">
        <v>69</v>
      </c>
      <c r="D82" s="138">
        <v>66.7</v>
      </c>
      <c r="E82" s="138">
        <v>65.8</v>
      </c>
      <c r="F82" s="138">
        <v>85</v>
      </c>
      <c r="G82" s="145"/>
      <c r="H82" s="138">
        <v>56.4</v>
      </c>
      <c r="I82" s="138">
        <v>62.1</v>
      </c>
      <c r="J82" s="138">
        <v>60</v>
      </c>
      <c r="K82" s="138">
        <v>59.1</v>
      </c>
      <c r="L82" s="138">
        <v>77.7</v>
      </c>
      <c r="M82" s="145"/>
      <c r="N82" s="138">
        <v>53.1</v>
      </c>
      <c r="O82" s="138">
        <v>58.7</v>
      </c>
      <c r="P82" s="138">
        <v>56.8</v>
      </c>
      <c r="Q82" s="138">
        <v>55.9</v>
      </c>
      <c r="R82" s="138">
        <v>74.2</v>
      </c>
      <c r="V82" s="145"/>
      <c r="AC82" s="145"/>
      <c r="AJ82" s="145"/>
      <c r="AQ82" s="145"/>
    </row>
    <row r="83" spans="1:43">
      <c r="A83" s="934">
        <v>40391</v>
      </c>
      <c r="B83" s="798">
        <v>60.6</v>
      </c>
      <c r="C83" s="798">
        <v>66.400000000000006</v>
      </c>
      <c r="D83" s="798">
        <v>64.599999999999994</v>
      </c>
      <c r="E83" s="798">
        <v>64.2</v>
      </c>
      <c r="F83" s="798">
        <v>84.7</v>
      </c>
      <c r="G83" s="145"/>
      <c r="H83" s="798">
        <v>53.6</v>
      </c>
      <c r="I83" s="798">
        <v>59.4</v>
      </c>
      <c r="J83" s="798">
        <v>57.9</v>
      </c>
      <c r="K83" s="798">
        <v>57.6</v>
      </c>
      <c r="L83" s="798">
        <v>77.400000000000006</v>
      </c>
      <c r="M83" s="145"/>
      <c r="N83" s="798">
        <v>50.2</v>
      </c>
      <c r="O83" s="798">
        <v>56.1</v>
      </c>
      <c r="P83" s="798">
        <v>54.7</v>
      </c>
      <c r="Q83" s="798">
        <v>54.3</v>
      </c>
      <c r="R83" s="798">
        <v>73.900000000000006</v>
      </c>
      <c r="V83" s="145"/>
      <c r="AC83" s="145"/>
      <c r="AJ83" s="145"/>
      <c r="AQ83" s="145"/>
    </row>
    <row r="84" spans="1:43">
      <c r="A84" s="935">
        <v>40422</v>
      </c>
      <c r="B84" s="138">
        <v>67.099999999999994</v>
      </c>
      <c r="C84" s="138">
        <v>66.7</v>
      </c>
      <c r="D84" s="138">
        <v>65.400000000000006</v>
      </c>
      <c r="E84" s="138">
        <v>64.3</v>
      </c>
      <c r="F84" s="138">
        <v>85.1</v>
      </c>
      <c r="G84" s="145"/>
      <c r="H84" s="138">
        <v>60</v>
      </c>
      <c r="I84" s="138">
        <v>59.8</v>
      </c>
      <c r="J84" s="138">
        <v>58.6</v>
      </c>
      <c r="K84" s="138">
        <v>57.7</v>
      </c>
      <c r="L84" s="138">
        <v>77.7</v>
      </c>
      <c r="M84" s="145"/>
      <c r="N84" s="138">
        <v>56.6</v>
      </c>
      <c r="O84" s="138">
        <v>56.4</v>
      </c>
      <c r="P84" s="138">
        <v>55.4</v>
      </c>
      <c r="Q84" s="138">
        <v>54.5</v>
      </c>
      <c r="R84" s="138">
        <v>74.2</v>
      </c>
      <c r="V84" s="145"/>
      <c r="AC84" s="145"/>
      <c r="AJ84" s="145"/>
      <c r="AQ84" s="145"/>
    </row>
    <row r="85" spans="1:43">
      <c r="A85" s="934">
        <v>40452</v>
      </c>
      <c r="B85" s="798">
        <v>67.099999999999994</v>
      </c>
      <c r="C85" s="798">
        <v>65.900000000000006</v>
      </c>
      <c r="D85" s="798">
        <v>64.2</v>
      </c>
      <c r="E85" s="798">
        <v>63.5</v>
      </c>
      <c r="F85" s="798">
        <v>85.8</v>
      </c>
      <c r="G85" s="145"/>
      <c r="H85" s="798">
        <v>60.2</v>
      </c>
      <c r="I85" s="798">
        <v>59</v>
      </c>
      <c r="J85" s="798">
        <v>57.5</v>
      </c>
      <c r="K85" s="798">
        <v>56.9</v>
      </c>
      <c r="L85" s="798">
        <v>78.3</v>
      </c>
      <c r="M85" s="145"/>
      <c r="N85" s="798">
        <v>56.8</v>
      </c>
      <c r="O85" s="798">
        <v>55.6</v>
      </c>
      <c r="P85" s="798">
        <v>54.3</v>
      </c>
      <c r="Q85" s="798">
        <v>53.7</v>
      </c>
      <c r="R85" s="798">
        <v>74.8</v>
      </c>
      <c r="V85" s="145"/>
      <c r="AC85" s="145"/>
      <c r="AJ85" s="145"/>
      <c r="AQ85" s="145"/>
    </row>
    <row r="86" spans="1:43">
      <c r="A86" s="935">
        <v>40483</v>
      </c>
      <c r="B86" s="138">
        <v>72.2</v>
      </c>
      <c r="C86" s="138">
        <v>66.2</v>
      </c>
      <c r="D86" s="138">
        <v>64.8</v>
      </c>
      <c r="E86" s="138">
        <v>63.8</v>
      </c>
      <c r="F86" s="138">
        <v>85.9</v>
      </c>
      <c r="G86" s="145"/>
      <c r="H86" s="138">
        <v>65.3</v>
      </c>
      <c r="I86" s="138">
        <v>59.3</v>
      </c>
      <c r="J86" s="138">
        <v>58.2</v>
      </c>
      <c r="K86" s="138">
        <v>57.3</v>
      </c>
      <c r="L86" s="138">
        <v>78.5</v>
      </c>
      <c r="M86" s="145"/>
      <c r="N86" s="138">
        <v>61.9</v>
      </c>
      <c r="O86" s="138">
        <v>55.8</v>
      </c>
      <c r="P86" s="138">
        <v>54.8</v>
      </c>
      <c r="Q86" s="138">
        <v>53.9</v>
      </c>
      <c r="R86" s="138">
        <v>74.900000000000006</v>
      </c>
      <c r="V86" s="145"/>
      <c r="AC86" s="145"/>
      <c r="AJ86" s="145"/>
      <c r="AQ86" s="145"/>
    </row>
    <row r="87" spans="1:43">
      <c r="A87" s="934">
        <v>40513</v>
      </c>
      <c r="B87" s="798">
        <v>103.3</v>
      </c>
      <c r="C87" s="798">
        <v>70.5</v>
      </c>
      <c r="D87" s="798">
        <v>68.400000000000006</v>
      </c>
      <c r="E87" s="798">
        <v>66.2</v>
      </c>
      <c r="F87" s="798">
        <v>88.5</v>
      </c>
      <c r="G87" s="145"/>
      <c r="H87" s="798">
        <v>96.2</v>
      </c>
      <c r="I87" s="798">
        <v>63.6</v>
      </c>
      <c r="J87" s="798">
        <v>61.6</v>
      </c>
      <c r="K87" s="798">
        <v>59.6</v>
      </c>
      <c r="L87" s="798">
        <v>80.8</v>
      </c>
      <c r="M87" s="145"/>
      <c r="N87" s="798">
        <v>92.7</v>
      </c>
      <c r="O87" s="798">
        <v>60.1</v>
      </c>
      <c r="P87" s="798">
        <v>58.3</v>
      </c>
      <c r="Q87" s="798">
        <v>56.2</v>
      </c>
      <c r="R87" s="798">
        <v>77.2</v>
      </c>
      <c r="V87" s="145"/>
      <c r="AC87" s="145"/>
      <c r="AJ87" s="145"/>
      <c r="AQ87" s="145"/>
    </row>
    <row r="88" spans="1:43">
      <c r="A88" s="935">
        <v>40544</v>
      </c>
      <c r="B88" s="138">
        <v>82.1</v>
      </c>
      <c r="C88" s="138">
        <v>75.7</v>
      </c>
      <c r="D88" s="138">
        <v>72.2</v>
      </c>
      <c r="E88" s="138">
        <v>69.900000000000006</v>
      </c>
      <c r="F88" s="138">
        <v>99.9</v>
      </c>
      <c r="G88" s="145"/>
      <c r="H88" s="138">
        <v>75.099999999999994</v>
      </c>
      <c r="I88" s="138">
        <v>68.900000000000006</v>
      </c>
      <c r="J88" s="138">
        <v>65.3</v>
      </c>
      <c r="K88" s="138">
        <v>63.2</v>
      </c>
      <c r="L88" s="138">
        <v>92.3</v>
      </c>
      <c r="M88" s="145"/>
      <c r="N88" s="138">
        <v>71.599999999999994</v>
      </c>
      <c r="O88" s="138">
        <v>65.400000000000006</v>
      </c>
      <c r="P88" s="138">
        <v>61.9</v>
      </c>
      <c r="Q88" s="138">
        <v>59.9</v>
      </c>
      <c r="R88" s="138">
        <v>88.6</v>
      </c>
      <c r="V88" s="145"/>
      <c r="AC88" s="145"/>
      <c r="AJ88" s="145"/>
      <c r="AQ88" s="145"/>
    </row>
    <row r="89" spans="1:43">
      <c r="A89" s="934">
        <v>40575</v>
      </c>
      <c r="B89" s="798">
        <v>76.7</v>
      </c>
      <c r="C89" s="798">
        <v>71.3</v>
      </c>
      <c r="D89" s="798">
        <v>69.400000000000006</v>
      </c>
      <c r="E89" s="798">
        <v>67.400000000000006</v>
      </c>
      <c r="F89" s="798">
        <v>99.2</v>
      </c>
      <c r="G89" s="145"/>
      <c r="H89" s="798">
        <v>69.599999999999994</v>
      </c>
      <c r="I89" s="798">
        <v>64.3</v>
      </c>
      <c r="J89" s="798">
        <v>62.3</v>
      </c>
      <c r="K89" s="798">
        <v>60.7</v>
      </c>
      <c r="L89" s="798">
        <v>91.5</v>
      </c>
      <c r="M89" s="145"/>
      <c r="N89" s="798">
        <v>66.099999999999994</v>
      </c>
      <c r="O89" s="798">
        <v>60.7</v>
      </c>
      <c r="P89" s="798">
        <v>58.8</v>
      </c>
      <c r="Q89" s="798">
        <v>57.3</v>
      </c>
      <c r="R89" s="798">
        <v>87.8</v>
      </c>
      <c r="V89" s="145"/>
      <c r="AC89" s="145"/>
      <c r="AJ89" s="145"/>
      <c r="AQ89" s="145"/>
    </row>
    <row r="90" spans="1:43">
      <c r="A90" s="935">
        <v>40603</v>
      </c>
      <c r="B90" s="138">
        <v>76.3</v>
      </c>
      <c r="C90" s="138">
        <v>71</v>
      </c>
      <c r="D90" s="138">
        <v>69.3</v>
      </c>
      <c r="E90" s="138">
        <v>67.400000000000006</v>
      </c>
      <c r="F90" s="138">
        <v>98.2</v>
      </c>
      <c r="G90" s="145"/>
      <c r="H90" s="138">
        <v>69.099999999999994</v>
      </c>
      <c r="I90" s="138">
        <v>63.8</v>
      </c>
      <c r="J90" s="138">
        <v>62.1</v>
      </c>
      <c r="K90" s="138">
        <v>60.5</v>
      </c>
      <c r="L90" s="138">
        <v>90.5</v>
      </c>
      <c r="M90" s="145"/>
      <c r="N90" s="138">
        <v>65.400000000000006</v>
      </c>
      <c r="O90" s="138">
        <v>60.2</v>
      </c>
      <c r="P90" s="138">
        <v>58.5</v>
      </c>
      <c r="Q90" s="138">
        <v>57.1</v>
      </c>
      <c r="R90" s="138">
        <v>86.7</v>
      </c>
      <c r="V90" s="145"/>
      <c r="AC90" s="145"/>
      <c r="AJ90" s="145"/>
      <c r="AQ90" s="145"/>
    </row>
    <row r="91" spans="1:43">
      <c r="A91" s="934">
        <v>40634</v>
      </c>
      <c r="B91" s="798">
        <v>67.900000000000006</v>
      </c>
      <c r="C91" s="798">
        <v>73.3</v>
      </c>
      <c r="D91" s="798">
        <v>70.7</v>
      </c>
      <c r="E91" s="798">
        <v>69</v>
      </c>
      <c r="F91" s="798">
        <v>96.4</v>
      </c>
      <c r="G91" s="145"/>
      <c r="H91" s="798">
        <v>60.7</v>
      </c>
      <c r="I91" s="798">
        <v>66</v>
      </c>
      <c r="J91" s="798">
        <v>63.4</v>
      </c>
      <c r="K91" s="798">
        <v>62.1</v>
      </c>
      <c r="L91" s="798">
        <v>88.6</v>
      </c>
      <c r="M91" s="145"/>
      <c r="N91" s="798">
        <v>57.1</v>
      </c>
      <c r="O91" s="798">
        <v>62.4</v>
      </c>
      <c r="P91" s="798">
        <v>59.8</v>
      </c>
      <c r="Q91" s="798">
        <v>58.5</v>
      </c>
      <c r="R91" s="798">
        <v>84.8</v>
      </c>
      <c r="V91" s="145"/>
      <c r="AC91" s="145"/>
      <c r="AJ91" s="145"/>
      <c r="AQ91" s="145"/>
    </row>
    <row r="92" spans="1:43">
      <c r="A92" s="935">
        <v>40664</v>
      </c>
      <c r="B92" s="138">
        <v>68.599999999999994</v>
      </c>
      <c r="C92" s="138">
        <v>74.900000000000006</v>
      </c>
      <c r="D92" s="138">
        <v>72</v>
      </c>
      <c r="E92" s="138">
        <v>70.2</v>
      </c>
      <c r="F92" s="138">
        <v>93.4</v>
      </c>
      <c r="G92" s="145"/>
      <c r="H92" s="138">
        <v>61.4</v>
      </c>
      <c r="I92" s="138">
        <v>67.7</v>
      </c>
      <c r="J92" s="138">
        <v>64.7</v>
      </c>
      <c r="K92" s="138">
        <v>63.3</v>
      </c>
      <c r="L92" s="138">
        <v>85.4</v>
      </c>
      <c r="M92" s="145"/>
      <c r="N92" s="138">
        <v>57.8</v>
      </c>
      <c r="O92" s="138">
        <v>64.099999999999994</v>
      </c>
      <c r="P92" s="138">
        <v>61.1</v>
      </c>
      <c r="Q92" s="138">
        <v>59.8</v>
      </c>
      <c r="R92" s="138">
        <v>81.599999999999994</v>
      </c>
      <c r="V92" s="145"/>
      <c r="AC92" s="145"/>
      <c r="AJ92" s="145"/>
      <c r="AQ92" s="145"/>
    </row>
    <row r="93" spans="1:43">
      <c r="A93" s="934">
        <v>40695</v>
      </c>
      <c r="B93" s="798">
        <v>63.6</v>
      </c>
      <c r="C93" s="798">
        <v>73.599999999999994</v>
      </c>
      <c r="D93" s="798">
        <v>71.599999999999994</v>
      </c>
      <c r="E93" s="798">
        <v>70</v>
      </c>
      <c r="F93" s="798">
        <v>92.5</v>
      </c>
      <c r="G93" s="145"/>
      <c r="H93" s="798">
        <v>56.5</v>
      </c>
      <c r="I93" s="798">
        <v>66.5</v>
      </c>
      <c r="J93" s="798">
        <v>64.400000000000006</v>
      </c>
      <c r="K93" s="798">
        <v>63.1</v>
      </c>
      <c r="L93" s="798">
        <v>84.6</v>
      </c>
      <c r="M93" s="145"/>
      <c r="N93" s="798">
        <v>52.9</v>
      </c>
      <c r="O93" s="798">
        <v>62.9</v>
      </c>
      <c r="P93" s="798">
        <v>60.8</v>
      </c>
      <c r="Q93" s="798">
        <v>59.6</v>
      </c>
      <c r="R93" s="798">
        <v>80.8</v>
      </c>
      <c r="V93" s="145"/>
      <c r="AC93" s="145"/>
      <c r="AJ93" s="145"/>
      <c r="AQ93" s="145"/>
    </row>
    <row r="94" spans="1:43">
      <c r="A94" s="935">
        <v>40725</v>
      </c>
      <c r="B94" s="138">
        <v>55.5</v>
      </c>
      <c r="C94" s="138">
        <v>70.7</v>
      </c>
      <c r="D94" s="138">
        <v>69.8</v>
      </c>
      <c r="E94" s="138">
        <v>69.2</v>
      </c>
      <c r="F94" s="138">
        <v>90.7</v>
      </c>
      <c r="G94" s="145"/>
      <c r="H94" s="138">
        <v>48.4</v>
      </c>
      <c r="I94" s="138">
        <v>63.5</v>
      </c>
      <c r="J94" s="138">
        <v>62.7</v>
      </c>
      <c r="K94" s="138">
        <v>62.2</v>
      </c>
      <c r="L94" s="138">
        <v>82.6</v>
      </c>
      <c r="M94" s="145"/>
      <c r="N94" s="138">
        <v>44.9</v>
      </c>
      <c r="O94" s="138">
        <v>60</v>
      </c>
      <c r="P94" s="138">
        <v>59.1</v>
      </c>
      <c r="Q94" s="138">
        <v>58.7</v>
      </c>
      <c r="R94" s="138">
        <v>78.8</v>
      </c>
      <c r="V94" s="145"/>
      <c r="AC94" s="145"/>
      <c r="AJ94" s="145"/>
      <c r="AQ94" s="145"/>
    </row>
    <row r="95" spans="1:43">
      <c r="A95" s="934">
        <v>40756</v>
      </c>
      <c r="B95" s="798">
        <v>58.2</v>
      </c>
      <c r="C95" s="798">
        <v>69.599999999999994</v>
      </c>
      <c r="D95" s="798">
        <v>69.400000000000006</v>
      </c>
      <c r="E95" s="798">
        <v>68.599999999999994</v>
      </c>
      <c r="F95" s="798">
        <v>90</v>
      </c>
      <c r="G95" s="145"/>
      <c r="H95" s="798">
        <v>51</v>
      </c>
      <c r="I95" s="798">
        <v>62.2</v>
      </c>
      <c r="J95" s="798">
        <v>62</v>
      </c>
      <c r="K95" s="798">
        <v>61.6</v>
      </c>
      <c r="L95" s="798">
        <v>81.900000000000006</v>
      </c>
      <c r="M95" s="145"/>
      <c r="N95" s="798">
        <v>47.4</v>
      </c>
      <c r="O95" s="798">
        <v>58.6</v>
      </c>
      <c r="P95" s="798">
        <v>58.4</v>
      </c>
      <c r="Q95" s="798">
        <v>58.1</v>
      </c>
      <c r="R95" s="798">
        <v>78.099999999999994</v>
      </c>
      <c r="V95" s="145"/>
      <c r="AC95" s="145"/>
      <c r="AJ95" s="145"/>
      <c r="AQ95" s="145"/>
    </row>
    <row r="96" spans="1:43">
      <c r="A96" s="935">
        <v>40787</v>
      </c>
      <c r="B96" s="138">
        <v>48.9</v>
      </c>
      <c r="C96" s="138">
        <v>69.5</v>
      </c>
      <c r="D96" s="138">
        <v>68.900000000000006</v>
      </c>
      <c r="E96" s="138">
        <v>68.3</v>
      </c>
      <c r="F96" s="138">
        <v>89.5</v>
      </c>
      <c r="G96" s="145"/>
      <c r="H96" s="138">
        <v>41.6</v>
      </c>
      <c r="I96" s="138">
        <v>62.1</v>
      </c>
      <c r="J96" s="138">
        <v>61.5</v>
      </c>
      <c r="K96" s="138">
        <v>61.2</v>
      </c>
      <c r="L96" s="138">
        <v>81.3</v>
      </c>
      <c r="M96" s="145"/>
      <c r="N96" s="138">
        <v>38</v>
      </c>
      <c r="O96" s="138">
        <v>58.5</v>
      </c>
      <c r="P96" s="138">
        <v>57.9</v>
      </c>
      <c r="Q96" s="138">
        <v>57.7</v>
      </c>
      <c r="R96" s="138">
        <v>77.400000000000006</v>
      </c>
      <c r="V96" s="145"/>
      <c r="AC96" s="145"/>
      <c r="AJ96" s="145"/>
      <c r="AQ96" s="145"/>
    </row>
    <row r="97" spans="1:43">
      <c r="A97" s="934">
        <v>40817</v>
      </c>
      <c r="B97" s="798">
        <v>47.7</v>
      </c>
      <c r="C97" s="798">
        <v>68.2</v>
      </c>
      <c r="D97" s="798">
        <v>67.599999999999994</v>
      </c>
      <c r="E97" s="798">
        <v>67.2</v>
      </c>
      <c r="F97" s="798">
        <v>89.8</v>
      </c>
      <c r="G97" s="145"/>
      <c r="H97" s="798">
        <v>40.299999999999997</v>
      </c>
      <c r="I97" s="798">
        <v>60.8</v>
      </c>
      <c r="J97" s="798">
        <v>60.2</v>
      </c>
      <c r="K97" s="798">
        <v>60.2</v>
      </c>
      <c r="L97" s="798">
        <v>81.7</v>
      </c>
      <c r="M97" s="145"/>
      <c r="N97" s="798">
        <v>36.6</v>
      </c>
      <c r="O97" s="798">
        <v>57.2</v>
      </c>
      <c r="P97" s="798">
        <v>56.5</v>
      </c>
      <c r="Q97" s="798">
        <v>56.6</v>
      </c>
      <c r="R97" s="798">
        <v>77.8</v>
      </c>
      <c r="V97" s="145"/>
      <c r="AC97" s="145"/>
      <c r="AJ97" s="145"/>
      <c r="AQ97" s="145"/>
    </row>
    <row r="98" spans="1:43">
      <c r="A98" s="935">
        <v>40848</v>
      </c>
      <c r="B98" s="138">
        <v>61.3</v>
      </c>
      <c r="C98" s="138">
        <v>66.3</v>
      </c>
      <c r="D98" s="138">
        <v>66.3</v>
      </c>
      <c r="E98" s="138">
        <v>65.5</v>
      </c>
      <c r="F98" s="138">
        <v>90</v>
      </c>
      <c r="G98" s="145"/>
      <c r="H98" s="138">
        <v>54</v>
      </c>
      <c r="I98" s="138">
        <v>58.9</v>
      </c>
      <c r="J98" s="138">
        <v>58.9</v>
      </c>
      <c r="K98" s="138">
        <v>58.6</v>
      </c>
      <c r="L98" s="138">
        <v>81.900000000000006</v>
      </c>
      <c r="M98" s="145"/>
      <c r="N98" s="138">
        <v>50.3</v>
      </c>
      <c r="O98" s="138">
        <v>55.3</v>
      </c>
      <c r="P98" s="138">
        <v>55.3</v>
      </c>
      <c r="Q98" s="138">
        <v>55.1</v>
      </c>
      <c r="R98" s="138">
        <v>78.099999999999994</v>
      </c>
      <c r="V98" s="145"/>
      <c r="AC98" s="145"/>
      <c r="AJ98" s="145"/>
      <c r="AQ98" s="145"/>
    </row>
    <row r="99" spans="1:43">
      <c r="A99" s="934">
        <v>40878</v>
      </c>
      <c r="B99" s="798">
        <v>50.4</v>
      </c>
      <c r="C99" s="798">
        <v>64.900000000000006</v>
      </c>
      <c r="D99" s="798">
        <v>65.099999999999994</v>
      </c>
      <c r="E99" s="798">
        <v>64.900000000000006</v>
      </c>
      <c r="F99" s="798">
        <v>89.8</v>
      </c>
      <c r="G99" s="145"/>
      <c r="H99" s="798">
        <v>43</v>
      </c>
      <c r="I99" s="798">
        <v>57.6</v>
      </c>
      <c r="J99" s="798">
        <v>57.8</v>
      </c>
      <c r="K99" s="798">
        <v>58</v>
      </c>
      <c r="L99" s="798">
        <v>81.7</v>
      </c>
      <c r="M99" s="145"/>
      <c r="N99" s="798">
        <v>39.4</v>
      </c>
      <c r="O99" s="798">
        <v>54</v>
      </c>
      <c r="P99" s="798">
        <v>54.2</v>
      </c>
      <c r="Q99" s="798">
        <v>54.5</v>
      </c>
      <c r="R99" s="798">
        <v>77.900000000000006</v>
      </c>
      <c r="V99" s="145"/>
      <c r="AC99" s="145"/>
      <c r="AJ99" s="145"/>
      <c r="AQ99" s="145"/>
    </row>
    <row r="100" spans="1:43">
      <c r="A100" s="935">
        <v>40909</v>
      </c>
      <c r="B100" s="138">
        <v>53.5</v>
      </c>
      <c r="C100" s="138">
        <v>62</v>
      </c>
      <c r="D100" s="138">
        <v>63</v>
      </c>
      <c r="E100" s="138">
        <v>62.9</v>
      </c>
      <c r="F100" s="138">
        <v>90</v>
      </c>
      <c r="G100" s="145"/>
      <c r="H100" s="138">
        <v>46.2</v>
      </c>
      <c r="I100" s="138">
        <v>54.5</v>
      </c>
      <c r="J100" s="138">
        <v>55.6</v>
      </c>
      <c r="K100" s="138">
        <v>55.9</v>
      </c>
      <c r="L100" s="138">
        <v>81.900000000000006</v>
      </c>
      <c r="M100" s="145"/>
      <c r="N100" s="138">
        <v>42.5</v>
      </c>
      <c r="O100" s="138">
        <v>50.9</v>
      </c>
      <c r="P100" s="138">
        <v>52</v>
      </c>
      <c r="Q100" s="138">
        <v>52.4</v>
      </c>
      <c r="R100" s="138">
        <v>78</v>
      </c>
      <c r="V100" s="145"/>
      <c r="AC100" s="145"/>
      <c r="AJ100" s="145"/>
      <c r="AQ100" s="145"/>
    </row>
    <row r="101" spans="1:43">
      <c r="A101" s="934">
        <v>40940</v>
      </c>
      <c r="B101" s="798">
        <v>67.400000000000006</v>
      </c>
      <c r="C101" s="798">
        <v>61</v>
      </c>
      <c r="D101" s="798">
        <v>62</v>
      </c>
      <c r="E101" s="798">
        <v>62.2</v>
      </c>
      <c r="F101" s="798">
        <v>90.4</v>
      </c>
      <c r="G101" s="145"/>
      <c r="H101" s="798">
        <v>60</v>
      </c>
      <c r="I101" s="798">
        <v>53.6</v>
      </c>
      <c r="J101" s="798">
        <v>54.7</v>
      </c>
      <c r="K101" s="798">
        <v>55.2</v>
      </c>
      <c r="L101" s="798">
        <v>82.4</v>
      </c>
      <c r="M101" s="145"/>
      <c r="N101" s="798">
        <v>56.3</v>
      </c>
      <c r="O101" s="798">
        <v>50</v>
      </c>
      <c r="P101" s="798">
        <v>51.1</v>
      </c>
      <c r="Q101" s="798">
        <v>51.7</v>
      </c>
      <c r="R101" s="798">
        <v>78.5</v>
      </c>
      <c r="V101" s="145"/>
      <c r="AC101" s="145"/>
      <c r="AJ101" s="145"/>
      <c r="AQ101" s="145"/>
    </row>
    <row r="102" spans="1:43">
      <c r="A102" s="935">
        <v>40969</v>
      </c>
      <c r="B102" s="138">
        <v>45.4</v>
      </c>
      <c r="C102" s="138">
        <v>60.1</v>
      </c>
      <c r="D102" s="138">
        <v>61.2</v>
      </c>
      <c r="E102" s="138">
        <v>61.4</v>
      </c>
      <c r="F102" s="138">
        <v>88.5</v>
      </c>
      <c r="G102" s="145"/>
      <c r="H102" s="138">
        <v>38.1</v>
      </c>
      <c r="I102" s="138">
        <v>52.7</v>
      </c>
      <c r="J102" s="138">
        <v>53.9</v>
      </c>
      <c r="K102" s="138">
        <v>54.5</v>
      </c>
      <c r="L102" s="138">
        <v>80.400000000000006</v>
      </c>
      <c r="M102" s="145"/>
      <c r="N102" s="138">
        <v>34.4</v>
      </c>
      <c r="O102" s="138">
        <v>49.1</v>
      </c>
      <c r="P102" s="138">
        <v>50.3</v>
      </c>
      <c r="Q102" s="138">
        <v>51</v>
      </c>
      <c r="R102" s="138">
        <v>76.599999999999994</v>
      </c>
      <c r="V102" s="145"/>
      <c r="AC102" s="145"/>
      <c r="AJ102" s="145"/>
      <c r="AQ102" s="145"/>
    </row>
    <row r="103" spans="1:43">
      <c r="A103" s="934">
        <v>41000</v>
      </c>
      <c r="B103" s="798">
        <v>47.3</v>
      </c>
      <c r="C103" s="798">
        <v>58.9</v>
      </c>
      <c r="D103" s="798">
        <v>60.1</v>
      </c>
      <c r="E103" s="798">
        <v>60.3</v>
      </c>
      <c r="F103" s="798">
        <v>84.1</v>
      </c>
      <c r="G103" s="145"/>
      <c r="H103" s="798">
        <v>39.9</v>
      </c>
      <c r="I103" s="798">
        <v>51.5</v>
      </c>
      <c r="J103" s="798">
        <v>52.8</v>
      </c>
      <c r="K103" s="798">
        <v>53.4</v>
      </c>
      <c r="L103" s="798">
        <v>75.900000000000006</v>
      </c>
      <c r="M103" s="145"/>
      <c r="N103" s="798">
        <v>36.299999999999997</v>
      </c>
      <c r="O103" s="798">
        <v>47.9</v>
      </c>
      <c r="P103" s="798">
        <v>49.1</v>
      </c>
      <c r="Q103" s="798">
        <v>49.9</v>
      </c>
      <c r="R103" s="798">
        <v>72</v>
      </c>
      <c r="V103" s="145"/>
      <c r="AC103" s="145"/>
      <c r="AJ103" s="145"/>
      <c r="AQ103" s="145"/>
    </row>
    <row r="104" spans="1:43">
      <c r="A104" s="935">
        <v>41030</v>
      </c>
      <c r="B104" s="138">
        <v>46.7</v>
      </c>
      <c r="C104" s="138">
        <v>58.4</v>
      </c>
      <c r="D104" s="138">
        <v>59.6</v>
      </c>
      <c r="E104" s="138">
        <v>59.9</v>
      </c>
      <c r="F104" s="138">
        <v>83.3</v>
      </c>
      <c r="G104" s="145"/>
      <c r="H104" s="138">
        <v>39.299999999999997</v>
      </c>
      <c r="I104" s="138">
        <v>51</v>
      </c>
      <c r="J104" s="138">
        <v>52.2</v>
      </c>
      <c r="K104" s="138">
        <v>53</v>
      </c>
      <c r="L104" s="138">
        <v>75.099999999999994</v>
      </c>
      <c r="M104" s="145"/>
      <c r="N104" s="138">
        <v>35.700000000000003</v>
      </c>
      <c r="O104" s="138">
        <v>47.4</v>
      </c>
      <c r="P104" s="138">
        <v>48.6</v>
      </c>
      <c r="Q104" s="138">
        <v>49.4</v>
      </c>
      <c r="R104" s="138">
        <v>71.3</v>
      </c>
      <c r="V104" s="145"/>
      <c r="AC104" s="145"/>
      <c r="AJ104" s="145"/>
      <c r="AQ104" s="145"/>
    </row>
    <row r="105" spans="1:43">
      <c r="A105" s="934">
        <v>41061</v>
      </c>
      <c r="B105" s="798">
        <v>45.1</v>
      </c>
      <c r="C105" s="798">
        <v>57.2</v>
      </c>
      <c r="D105" s="798">
        <v>58.6</v>
      </c>
      <c r="E105" s="798">
        <v>58.8</v>
      </c>
      <c r="F105" s="798">
        <v>81.7</v>
      </c>
      <c r="G105" s="145"/>
      <c r="H105" s="798">
        <v>37.799999999999997</v>
      </c>
      <c r="I105" s="798">
        <v>49.9</v>
      </c>
      <c r="J105" s="798">
        <v>51.3</v>
      </c>
      <c r="K105" s="798">
        <v>51.9</v>
      </c>
      <c r="L105" s="798">
        <v>73.5</v>
      </c>
      <c r="M105" s="145"/>
      <c r="N105" s="798">
        <v>34.1</v>
      </c>
      <c r="O105" s="798">
        <v>46.3</v>
      </c>
      <c r="P105" s="798">
        <v>47.7</v>
      </c>
      <c r="Q105" s="798">
        <v>48.4</v>
      </c>
      <c r="R105" s="798">
        <v>69.599999999999994</v>
      </c>
      <c r="V105" s="145"/>
      <c r="AC105" s="145"/>
      <c r="AJ105" s="145"/>
      <c r="AQ105" s="145"/>
    </row>
    <row r="106" spans="1:43">
      <c r="A106" s="935">
        <v>41091</v>
      </c>
      <c r="B106" s="138">
        <v>32</v>
      </c>
      <c r="C106" s="138">
        <v>56.5</v>
      </c>
      <c r="D106" s="138">
        <v>57.9</v>
      </c>
      <c r="E106" s="138">
        <v>58</v>
      </c>
      <c r="F106" s="138">
        <v>81.099999999999994</v>
      </c>
      <c r="G106" s="145"/>
      <c r="H106" s="138">
        <v>24.7</v>
      </c>
      <c r="I106" s="138">
        <v>49</v>
      </c>
      <c r="J106" s="138">
        <v>50.4</v>
      </c>
      <c r="K106" s="138">
        <v>51</v>
      </c>
      <c r="L106" s="138">
        <v>72.8</v>
      </c>
      <c r="M106" s="145"/>
      <c r="N106" s="138">
        <v>21</v>
      </c>
      <c r="O106" s="138">
        <v>45.4</v>
      </c>
      <c r="P106" s="138">
        <v>46.7</v>
      </c>
      <c r="Q106" s="138">
        <v>47.4</v>
      </c>
      <c r="R106" s="138">
        <v>69</v>
      </c>
      <c r="V106" s="145"/>
      <c r="AC106" s="145"/>
      <c r="AJ106" s="145"/>
      <c r="AQ106" s="145"/>
    </row>
    <row r="107" spans="1:43">
      <c r="A107" s="934">
        <v>41122</v>
      </c>
      <c r="B107" s="798">
        <v>41.9</v>
      </c>
      <c r="C107" s="798">
        <v>56.1</v>
      </c>
      <c r="D107" s="798">
        <v>57.9</v>
      </c>
      <c r="E107" s="798">
        <v>57.6</v>
      </c>
      <c r="F107" s="798">
        <v>80.5</v>
      </c>
      <c r="G107" s="145"/>
      <c r="H107" s="798">
        <v>34.5</v>
      </c>
      <c r="I107" s="798">
        <v>48.6</v>
      </c>
      <c r="J107" s="798">
        <v>50.4</v>
      </c>
      <c r="K107" s="798">
        <v>50.6</v>
      </c>
      <c r="L107" s="798">
        <v>72.3</v>
      </c>
      <c r="M107" s="145"/>
      <c r="N107" s="798">
        <v>30.8</v>
      </c>
      <c r="O107" s="798">
        <v>45</v>
      </c>
      <c r="P107" s="798">
        <v>46.7</v>
      </c>
      <c r="Q107" s="798">
        <v>47.1</v>
      </c>
      <c r="R107" s="798">
        <v>68.400000000000006</v>
      </c>
      <c r="V107" s="145"/>
      <c r="AC107" s="145"/>
      <c r="AJ107" s="145"/>
      <c r="AQ107" s="145"/>
    </row>
    <row r="108" spans="1:43">
      <c r="A108" s="935">
        <v>41153</v>
      </c>
      <c r="B108" s="138">
        <v>44.4</v>
      </c>
      <c r="C108" s="138">
        <v>56.5</v>
      </c>
      <c r="D108" s="138">
        <v>58.3</v>
      </c>
      <c r="E108" s="138">
        <v>57.9</v>
      </c>
      <c r="F108" s="138">
        <v>80.8</v>
      </c>
      <c r="G108" s="145"/>
      <c r="H108" s="138">
        <v>37.1</v>
      </c>
      <c r="I108" s="138">
        <v>49.1</v>
      </c>
      <c r="J108" s="138">
        <v>50.7</v>
      </c>
      <c r="K108" s="138">
        <v>50.9</v>
      </c>
      <c r="L108" s="138">
        <v>72.5</v>
      </c>
      <c r="M108" s="145"/>
      <c r="N108" s="138">
        <v>33.4</v>
      </c>
      <c r="O108" s="138">
        <v>45.5</v>
      </c>
      <c r="P108" s="138">
        <v>47</v>
      </c>
      <c r="Q108" s="138">
        <v>47.4</v>
      </c>
      <c r="R108" s="138">
        <v>68.7</v>
      </c>
      <c r="V108" s="145"/>
      <c r="AC108" s="145"/>
      <c r="AJ108" s="145"/>
      <c r="AQ108" s="145"/>
    </row>
    <row r="109" spans="1:43">
      <c r="A109" s="934">
        <v>41183</v>
      </c>
      <c r="B109" s="798">
        <v>49.5</v>
      </c>
      <c r="C109" s="798">
        <v>56.3</v>
      </c>
      <c r="D109" s="798">
        <v>57.9</v>
      </c>
      <c r="E109" s="798">
        <v>57.5</v>
      </c>
      <c r="F109" s="798">
        <v>80.8</v>
      </c>
      <c r="G109" s="145"/>
      <c r="H109" s="798">
        <v>42.2</v>
      </c>
      <c r="I109" s="798">
        <v>48.8</v>
      </c>
      <c r="J109" s="798">
        <v>50.4</v>
      </c>
      <c r="K109" s="798">
        <v>50.5</v>
      </c>
      <c r="L109" s="798">
        <v>72.599999999999994</v>
      </c>
      <c r="M109" s="145"/>
      <c r="N109" s="798">
        <v>38.5</v>
      </c>
      <c r="O109" s="798">
        <v>45.2</v>
      </c>
      <c r="P109" s="798">
        <v>46.7</v>
      </c>
      <c r="Q109" s="798">
        <v>46.9</v>
      </c>
      <c r="R109" s="798">
        <v>68.7</v>
      </c>
      <c r="V109" s="145"/>
      <c r="AC109" s="145"/>
      <c r="AJ109" s="145"/>
      <c r="AQ109" s="145"/>
    </row>
    <row r="110" spans="1:43">
      <c r="A110" s="935">
        <v>41214</v>
      </c>
      <c r="B110" s="138">
        <v>48.7</v>
      </c>
      <c r="C110" s="138">
        <v>56.6</v>
      </c>
      <c r="D110" s="138">
        <v>58.1</v>
      </c>
      <c r="E110" s="138">
        <v>57.9</v>
      </c>
      <c r="F110" s="138">
        <v>81.400000000000006</v>
      </c>
      <c r="G110" s="145"/>
      <c r="H110" s="138">
        <v>41.3</v>
      </c>
      <c r="I110" s="138">
        <v>49.2</v>
      </c>
      <c r="J110" s="138">
        <v>50.6</v>
      </c>
      <c r="K110" s="138">
        <v>50.8</v>
      </c>
      <c r="L110" s="138">
        <v>73.2</v>
      </c>
      <c r="M110" s="145"/>
      <c r="N110" s="138">
        <v>37.700000000000003</v>
      </c>
      <c r="O110" s="138">
        <v>45.6</v>
      </c>
      <c r="P110" s="138">
        <v>47</v>
      </c>
      <c r="Q110" s="138">
        <v>47.3</v>
      </c>
      <c r="R110" s="138">
        <v>69.3</v>
      </c>
      <c r="V110" s="145"/>
      <c r="AC110" s="145"/>
      <c r="AJ110" s="145"/>
      <c r="AQ110" s="145"/>
    </row>
    <row r="111" spans="1:43">
      <c r="A111" s="934">
        <v>41244</v>
      </c>
      <c r="B111" s="798">
        <v>58.4</v>
      </c>
      <c r="C111" s="798">
        <v>57.1</v>
      </c>
      <c r="D111" s="798">
        <v>58.5</v>
      </c>
      <c r="E111" s="798">
        <v>58.2</v>
      </c>
      <c r="F111" s="798">
        <v>82.3</v>
      </c>
      <c r="G111" s="145"/>
      <c r="H111" s="798">
        <v>51.1</v>
      </c>
      <c r="I111" s="798">
        <v>49.6</v>
      </c>
      <c r="J111" s="798">
        <v>51</v>
      </c>
      <c r="K111" s="798">
        <v>51.1</v>
      </c>
      <c r="L111" s="798">
        <v>74.099999999999994</v>
      </c>
      <c r="M111" s="145"/>
      <c r="N111" s="798">
        <v>47.4</v>
      </c>
      <c r="O111" s="798">
        <v>46</v>
      </c>
      <c r="P111" s="798">
        <v>47.3</v>
      </c>
      <c r="Q111" s="798">
        <v>47.6</v>
      </c>
      <c r="R111" s="798">
        <v>70.2</v>
      </c>
      <c r="V111" s="145"/>
      <c r="AC111" s="145"/>
      <c r="AJ111" s="145"/>
      <c r="AQ111" s="145"/>
    </row>
    <row r="112" spans="1:43">
      <c r="A112" s="935">
        <v>41275</v>
      </c>
      <c r="B112" s="138">
        <v>56.3</v>
      </c>
      <c r="C112" s="138">
        <v>57.4</v>
      </c>
      <c r="D112" s="138">
        <v>58.2</v>
      </c>
      <c r="E112" s="138">
        <v>58.2</v>
      </c>
      <c r="F112" s="138">
        <v>82.3</v>
      </c>
      <c r="G112" s="145"/>
      <c r="H112" s="138">
        <v>49</v>
      </c>
      <c r="I112" s="138">
        <v>50</v>
      </c>
      <c r="J112" s="138">
        <v>50.8</v>
      </c>
      <c r="K112" s="138">
        <v>51.1</v>
      </c>
      <c r="L112" s="138">
        <v>74</v>
      </c>
      <c r="M112" s="145"/>
      <c r="N112" s="138">
        <v>45.3</v>
      </c>
      <c r="O112" s="138">
        <v>46.3</v>
      </c>
      <c r="P112" s="138">
        <v>47.1</v>
      </c>
      <c r="Q112" s="138">
        <v>47.6</v>
      </c>
      <c r="R112" s="138">
        <v>70.099999999999994</v>
      </c>
      <c r="V112" s="145"/>
      <c r="AC112" s="145"/>
      <c r="AJ112" s="145"/>
      <c r="AQ112" s="145"/>
    </row>
    <row r="113" spans="1:146">
      <c r="A113" s="934">
        <v>41306</v>
      </c>
      <c r="B113" s="798">
        <v>52.7</v>
      </c>
      <c r="C113" s="798">
        <v>57</v>
      </c>
      <c r="D113" s="798">
        <v>57.7</v>
      </c>
      <c r="E113" s="798">
        <v>57.1</v>
      </c>
      <c r="F113" s="798">
        <v>81.900000000000006</v>
      </c>
      <c r="G113" s="145"/>
      <c r="H113" s="798">
        <v>45.4</v>
      </c>
      <c r="I113" s="798">
        <v>49.6</v>
      </c>
      <c r="J113" s="798">
        <v>50.3</v>
      </c>
      <c r="K113" s="798">
        <v>50</v>
      </c>
      <c r="L113" s="798">
        <v>73.7</v>
      </c>
      <c r="M113" s="145"/>
      <c r="N113" s="798">
        <v>41.8</v>
      </c>
      <c r="O113" s="798">
        <v>46</v>
      </c>
      <c r="P113" s="798">
        <v>46.6</v>
      </c>
      <c r="Q113" s="798">
        <v>46.5</v>
      </c>
      <c r="R113" s="798">
        <v>69.8</v>
      </c>
      <c r="V113" s="145"/>
      <c r="AC113" s="145"/>
      <c r="AJ113" s="145"/>
      <c r="AQ113" s="145"/>
    </row>
    <row r="114" spans="1:146">
      <c r="A114" s="935">
        <v>41334</v>
      </c>
      <c r="B114" s="138">
        <v>56.4</v>
      </c>
      <c r="C114" s="138">
        <v>56.7</v>
      </c>
      <c r="D114" s="138">
        <v>56.9</v>
      </c>
      <c r="E114" s="138">
        <v>56.2</v>
      </c>
      <c r="F114" s="138">
        <v>81.7</v>
      </c>
      <c r="G114" s="145"/>
      <c r="H114" s="138">
        <v>49</v>
      </c>
      <c r="I114" s="138">
        <v>49.3</v>
      </c>
      <c r="J114" s="138">
        <v>49.5</v>
      </c>
      <c r="K114" s="138">
        <v>49.1</v>
      </c>
      <c r="L114" s="138">
        <v>73.400000000000006</v>
      </c>
      <c r="M114" s="145"/>
      <c r="N114" s="138">
        <v>45.3</v>
      </c>
      <c r="O114" s="138">
        <v>45.7</v>
      </c>
      <c r="P114" s="138">
        <v>45.8</v>
      </c>
      <c r="Q114" s="138">
        <v>45.5</v>
      </c>
      <c r="R114" s="138">
        <v>69.5</v>
      </c>
      <c r="V114" s="145"/>
      <c r="AC114" s="145"/>
      <c r="AJ114" s="145"/>
      <c r="AQ114" s="145"/>
    </row>
    <row r="115" spans="1:146" s="302" customFormat="1">
      <c r="A115" s="934">
        <v>41365</v>
      </c>
      <c r="B115" s="798">
        <v>56.868333333000002</v>
      </c>
      <c r="C115" s="798">
        <v>56.662816901408455</v>
      </c>
      <c r="D115" s="798">
        <v>55.462400000000017</v>
      </c>
      <c r="E115" s="798">
        <v>55.193650793650804</v>
      </c>
      <c r="F115" s="798">
        <v>80.572166666666675</v>
      </c>
      <c r="G115" s="145"/>
      <c r="H115" s="798">
        <v>49.099696969999997</v>
      </c>
      <c r="I115" s="798">
        <v>49.586428571428584</v>
      </c>
      <c r="J115" s="798">
        <v>48.527000000000015</v>
      </c>
      <c r="K115" s="798">
        <v>48.289365079365098</v>
      </c>
      <c r="L115" s="798">
        <v>72.739166666666662</v>
      </c>
      <c r="M115" s="145"/>
      <c r="N115" s="798">
        <v>45.186250000000001</v>
      </c>
      <c r="O115" s="798">
        <v>45.670514705882354</v>
      </c>
      <c r="P115" s="798">
        <v>44.963300000000018</v>
      </c>
      <c r="Q115" s="798">
        <v>44.751507936507942</v>
      </c>
      <c r="R115" s="798">
        <v>68.816249999999997</v>
      </c>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549"/>
      <c r="CS115" s="549"/>
      <c r="CT115" s="549"/>
      <c r="CU115" s="549"/>
      <c r="CV115" s="549"/>
      <c r="CW115" s="549"/>
      <c r="CX115" s="549"/>
      <c r="CY115" s="549"/>
      <c r="CZ115" s="549"/>
      <c r="DA115" s="549"/>
      <c r="DB115" s="549"/>
      <c r="DC115" s="549"/>
      <c r="DD115" s="549"/>
      <c r="DE115" s="549"/>
      <c r="DF115" s="549"/>
      <c r="DG115" s="549"/>
      <c r="DH115" s="549"/>
      <c r="DI115" s="549"/>
      <c r="DJ115" s="549"/>
      <c r="DK115" s="549"/>
      <c r="DL115" s="549"/>
      <c r="DM115" s="549"/>
      <c r="DN115" s="549"/>
      <c r="DO115" s="549"/>
      <c r="DP115" s="549"/>
      <c r="DQ115" s="549"/>
      <c r="DR115" s="549"/>
      <c r="DS115" s="549"/>
      <c r="DT115" s="549"/>
      <c r="DU115" s="549"/>
      <c r="DV115" s="549"/>
      <c r="DW115" s="549"/>
      <c r="DX115" s="549"/>
      <c r="DY115" s="549"/>
      <c r="DZ115" s="549"/>
      <c r="EA115" s="549"/>
      <c r="EB115" s="549"/>
      <c r="EC115" s="549"/>
      <c r="ED115" s="549"/>
      <c r="EE115" s="549"/>
      <c r="EF115" s="549"/>
      <c r="EG115" s="549"/>
      <c r="EH115" s="549"/>
      <c r="EI115" s="549"/>
      <c r="EJ115" s="549"/>
      <c r="EK115" s="549"/>
      <c r="EL115" s="549"/>
      <c r="EM115" s="549"/>
      <c r="EN115" s="549"/>
      <c r="EO115" s="549"/>
      <c r="EP115" s="549"/>
    </row>
    <row r="116" spans="1:146">
      <c r="A116" s="935">
        <v>41395</v>
      </c>
      <c r="B116" s="138">
        <v>50.534411765000002</v>
      </c>
      <c r="C116" s="138">
        <v>56.128904109589044</v>
      </c>
      <c r="D116" s="138">
        <v>55.460204081632661</v>
      </c>
      <c r="E116" s="138">
        <v>55.018153846153851</v>
      </c>
      <c r="F116" s="138">
        <v>80.676612903225788</v>
      </c>
      <c r="G116" s="145"/>
      <c r="H116" s="138">
        <v>43.053382353000003</v>
      </c>
      <c r="I116" s="138">
        <v>49.038333333333327</v>
      </c>
      <c r="J116" s="138">
        <v>48.348979591836745</v>
      </c>
      <c r="K116" s="138">
        <v>47.990307692307695</v>
      </c>
      <c r="L116" s="138">
        <v>72.844677419354824</v>
      </c>
      <c r="M116" s="145"/>
      <c r="N116" s="138">
        <v>39.157538461999998</v>
      </c>
      <c r="O116" s="138">
        <v>45.114071428571421</v>
      </c>
      <c r="P116" s="138">
        <v>44.695408163265313</v>
      </c>
      <c r="Q116" s="138">
        <v>44.393307692307701</v>
      </c>
      <c r="R116" s="138">
        <v>68.922499999999985</v>
      </c>
      <c r="V116" s="145"/>
      <c r="AC116" s="145"/>
      <c r="AJ116" s="145"/>
      <c r="AQ116" s="145"/>
    </row>
    <row r="117" spans="1:146">
      <c r="A117" s="934">
        <v>41426</v>
      </c>
      <c r="B117" s="798">
        <v>48.743770492000003</v>
      </c>
      <c r="C117" s="798">
        <v>54.949594594594615</v>
      </c>
      <c r="D117" s="798">
        <v>54.416600000000003</v>
      </c>
      <c r="E117" s="798">
        <v>53.624848484848506</v>
      </c>
      <c r="F117" s="798">
        <v>79.820645161290329</v>
      </c>
      <c r="G117" s="145"/>
      <c r="H117" s="798">
        <v>41.247213115000001</v>
      </c>
      <c r="I117" s="798">
        <v>47.936712328767136</v>
      </c>
      <c r="J117" s="798">
        <v>47.442800000000005</v>
      </c>
      <c r="K117" s="798">
        <v>46.896212121212145</v>
      </c>
      <c r="L117" s="798">
        <v>71.940322580645159</v>
      </c>
      <c r="M117" s="145"/>
      <c r="N117" s="798">
        <v>37.368965516999999</v>
      </c>
      <c r="O117" s="798">
        <v>44.035000000000011</v>
      </c>
      <c r="P117" s="798">
        <v>43.859900000000003</v>
      </c>
      <c r="Q117" s="798">
        <v>43.450075757575775</v>
      </c>
      <c r="R117" s="798">
        <v>67.993951612903231</v>
      </c>
      <c r="V117" s="145"/>
      <c r="AC117" s="145"/>
      <c r="AJ117" s="145"/>
      <c r="AQ117" s="145"/>
    </row>
    <row r="118" spans="1:146">
      <c r="A118" s="935">
        <v>41456</v>
      </c>
      <c r="B118" s="138">
        <v>48.468548386999998</v>
      </c>
      <c r="C118" s="138">
        <v>54.60459459459458</v>
      </c>
      <c r="D118" s="138">
        <v>54.495400000000018</v>
      </c>
      <c r="E118" s="138">
        <v>54.149538461538469</v>
      </c>
      <c r="F118" s="138">
        <v>79.803770491803292</v>
      </c>
      <c r="G118" s="145"/>
      <c r="H118" s="138">
        <v>40.899354838999997</v>
      </c>
      <c r="I118" s="138">
        <v>47.448082191780806</v>
      </c>
      <c r="J118" s="138">
        <v>47.318800000000017</v>
      </c>
      <c r="K118" s="138">
        <v>47.072769230769239</v>
      </c>
      <c r="L118" s="138">
        <v>71.971311475409848</v>
      </c>
      <c r="M118" s="145"/>
      <c r="N118" s="138">
        <v>36.968474575999998</v>
      </c>
      <c r="O118" s="138">
        <v>43.461197183098577</v>
      </c>
      <c r="P118" s="138">
        <v>43.634500000000017</v>
      </c>
      <c r="Q118" s="138">
        <v>43.451307692307715</v>
      </c>
      <c r="R118" s="138">
        <v>68.048770491803282</v>
      </c>
      <c r="V118" s="145"/>
      <c r="AC118" s="145"/>
      <c r="AJ118" s="145"/>
      <c r="AQ118" s="145"/>
    </row>
    <row r="119" spans="1:146">
      <c r="A119" s="934">
        <v>41487</v>
      </c>
      <c r="B119" s="798">
        <v>54.460327868999997</v>
      </c>
      <c r="C119" s="798">
        <v>54.745616437999999</v>
      </c>
      <c r="D119" s="798">
        <v>54.457291667</v>
      </c>
      <c r="E119" s="798">
        <v>54.057727272999998</v>
      </c>
      <c r="F119" s="798">
        <v>79.153442623000004</v>
      </c>
      <c r="G119" s="145"/>
      <c r="H119" s="798">
        <v>46.760655737999997</v>
      </c>
      <c r="I119" s="798">
        <v>47.543333333</v>
      </c>
      <c r="J119" s="798">
        <v>47.281666667000003</v>
      </c>
      <c r="K119" s="798">
        <v>46.926363635999998</v>
      </c>
      <c r="L119" s="798">
        <v>71.309180327999997</v>
      </c>
      <c r="M119" s="145"/>
      <c r="N119" s="798">
        <v>42.904224137999996</v>
      </c>
      <c r="O119" s="798">
        <v>43.552785714000002</v>
      </c>
      <c r="P119" s="798">
        <v>43.593854167000003</v>
      </c>
      <c r="Q119" s="798">
        <v>43.304318182000003</v>
      </c>
      <c r="R119" s="798">
        <v>67.380737705000001</v>
      </c>
      <c r="V119" s="145"/>
      <c r="AC119" s="145"/>
      <c r="AJ119" s="145"/>
      <c r="AQ119" s="145"/>
    </row>
    <row r="120" spans="1:146">
      <c r="A120" s="935">
        <v>41518</v>
      </c>
      <c r="B120" s="138">
        <v>58.551250000000003</v>
      </c>
      <c r="C120" s="138">
        <v>55.637567568000001</v>
      </c>
      <c r="D120" s="138">
        <v>54.57</v>
      </c>
      <c r="E120" s="138">
        <v>54.323030303000003</v>
      </c>
      <c r="F120" s="138">
        <v>79.258548387000005</v>
      </c>
      <c r="G120" s="145"/>
      <c r="H120" s="138">
        <v>51.077500000000001</v>
      </c>
      <c r="I120" s="138">
        <v>48.302777777999999</v>
      </c>
      <c r="J120" s="138">
        <v>47.519374999999997</v>
      </c>
      <c r="K120" s="138">
        <v>47.260757576000003</v>
      </c>
      <c r="L120" s="138">
        <v>71.540806451999998</v>
      </c>
      <c r="M120" s="145"/>
      <c r="N120" s="138">
        <v>47.390245901999997</v>
      </c>
      <c r="O120" s="138">
        <v>44.349357142999999</v>
      </c>
      <c r="P120" s="138">
        <v>43.956562499999997</v>
      </c>
      <c r="Q120" s="138">
        <v>43.718712121000003</v>
      </c>
      <c r="R120" s="138">
        <v>67.675725806000003</v>
      </c>
      <c r="V120" s="145"/>
      <c r="AC120" s="145"/>
      <c r="AJ120" s="145"/>
      <c r="AQ120" s="145"/>
    </row>
    <row r="121" spans="1:146">
      <c r="A121" s="934">
        <v>41548</v>
      </c>
      <c r="B121" s="798">
        <v>56.326406249999998</v>
      </c>
      <c r="C121" s="798">
        <v>57.465466667000001</v>
      </c>
      <c r="D121" s="798">
        <v>55.898979592000003</v>
      </c>
      <c r="E121" s="798">
        <v>55.676567163999998</v>
      </c>
      <c r="F121" s="798">
        <v>79.749508196999997</v>
      </c>
      <c r="G121" s="145"/>
      <c r="H121" s="798">
        <v>48.688593750000003</v>
      </c>
      <c r="I121" s="798">
        <v>50.164864864999998</v>
      </c>
      <c r="J121" s="798">
        <v>48.852653060999998</v>
      </c>
      <c r="K121" s="798">
        <v>48.606865671999998</v>
      </c>
      <c r="L121" s="798">
        <v>71.79852459</v>
      </c>
      <c r="M121" s="145"/>
      <c r="N121" s="798">
        <v>44.814596774000002</v>
      </c>
      <c r="O121" s="798">
        <v>46.256944443999998</v>
      </c>
      <c r="P121" s="798">
        <v>45.292755102000001</v>
      </c>
      <c r="Q121" s="798">
        <v>45.061268656999999</v>
      </c>
      <c r="R121" s="798">
        <v>67.823032787000002</v>
      </c>
      <c r="V121" s="145"/>
      <c r="AC121" s="145"/>
      <c r="AJ121" s="145"/>
      <c r="AQ121" s="145"/>
    </row>
    <row r="122" spans="1:146">
      <c r="A122" s="935">
        <v>41579</v>
      </c>
      <c r="B122" s="138">
        <v>52.200166666999998</v>
      </c>
      <c r="C122" s="138">
        <v>56.610410958999999</v>
      </c>
      <c r="D122" s="138">
        <v>55.630212766</v>
      </c>
      <c r="E122" s="138">
        <v>55.099090908999997</v>
      </c>
      <c r="F122" s="138">
        <v>79.196129032000002</v>
      </c>
      <c r="G122" s="145"/>
      <c r="H122" s="138">
        <v>44.669666667000001</v>
      </c>
      <c r="I122" s="138">
        <v>49.300138889000003</v>
      </c>
      <c r="J122" s="138">
        <v>48.590425531999998</v>
      </c>
      <c r="K122" s="138">
        <v>48.036818181999998</v>
      </c>
      <c r="L122" s="138">
        <v>71.417903226000007</v>
      </c>
      <c r="M122" s="145"/>
      <c r="N122" s="138">
        <v>40.785689654999999</v>
      </c>
      <c r="O122" s="138">
        <v>45.361285713999997</v>
      </c>
      <c r="P122" s="138">
        <v>45.032234043000003</v>
      </c>
      <c r="Q122" s="138">
        <v>44.494772726999997</v>
      </c>
      <c r="R122" s="138">
        <v>67.528790322999996</v>
      </c>
      <c r="V122" s="145"/>
      <c r="AC122" s="145"/>
      <c r="AJ122" s="145"/>
      <c r="AQ122" s="145"/>
    </row>
    <row r="123" spans="1:146">
      <c r="A123" s="934">
        <v>41609</v>
      </c>
      <c r="B123" s="798">
        <v>49.032647058999999</v>
      </c>
      <c r="C123" s="798">
        <v>55.090533333000003</v>
      </c>
      <c r="D123" s="798">
        <v>54.125306121999998</v>
      </c>
      <c r="E123" s="798">
        <v>53.655441175999997</v>
      </c>
      <c r="F123" s="798">
        <v>78.587903225999995</v>
      </c>
      <c r="G123" s="145"/>
      <c r="H123" s="798">
        <v>41.218529412000002</v>
      </c>
      <c r="I123" s="798">
        <v>47.901351351000002</v>
      </c>
      <c r="J123" s="798">
        <v>47.349591836999998</v>
      </c>
      <c r="K123" s="798">
        <v>46.784117647000002</v>
      </c>
      <c r="L123" s="798">
        <v>70.741935483999995</v>
      </c>
      <c r="M123" s="145"/>
      <c r="N123" s="798">
        <v>37.256742424000002</v>
      </c>
      <c r="O123" s="798">
        <v>44.004305555999998</v>
      </c>
      <c r="P123" s="798">
        <v>43.924999999999997</v>
      </c>
      <c r="Q123" s="798">
        <v>43.337867647000003</v>
      </c>
      <c r="R123" s="798">
        <v>66.818951612999996</v>
      </c>
      <c r="V123" s="145"/>
      <c r="AC123" s="145"/>
      <c r="AJ123" s="145"/>
      <c r="AQ123" s="145"/>
    </row>
    <row r="124" spans="1:146">
      <c r="A124" s="935">
        <v>41640</v>
      </c>
      <c r="B124" s="138">
        <v>49.140615384999997</v>
      </c>
      <c r="C124" s="138">
        <v>53.244</v>
      </c>
      <c r="D124" s="138">
        <v>52.951999999999998</v>
      </c>
      <c r="E124" s="138">
        <v>52.831911765000001</v>
      </c>
      <c r="F124" s="138">
        <v>77.511904762</v>
      </c>
      <c r="G124" s="145"/>
      <c r="H124" s="138">
        <v>41.424153846000003</v>
      </c>
      <c r="I124" s="138">
        <v>45.999864864999999</v>
      </c>
      <c r="J124" s="138">
        <v>46.123399999999997</v>
      </c>
      <c r="K124" s="138">
        <v>45.927941175999997</v>
      </c>
      <c r="L124" s="138">
        <v>69.599999999999994</v>
      </c>
      <c r="M124" s="145"/>
      <c r="N124" s="138">
        <v>37.532063491999999</v>
      </c>
      <c r="O124" s="138">
        <v>42.256805556000003</v>
      </c>
      <c r="P124" s="138">
        <v>42.673099999999998</v>
      </c>
      <c r="Q124" s="138">
        <v>42.465367647000001</v>
      </c>
      <c r="R124" s="138">
        <v>65.644047619000006</v>
      </c>
      <c r="V124" s="145"/>
      <c r="AC124" s="145"/>
      <c r="AJ124" s="145"/>
      <c r="AQ124" s="145"/>
    </row>
    <row r="125" spans="1:146">
      <c r="A125" s="934">
        <v>41671</v>
      </c>
      <c r="B125" s="798">
        <v>49.042000000000002</v>
      </c>
      <c r="C125" s="798">
        <v>52.217199999999998</v>
      </c>
      <c r="D125" s="798">
        <v>52.2014</v>
      </c>
      <c r="E125" s="798">
        <v>52.106911765</v>
      </c>
      <c r="F125" s="798">
        <v>74.459245283000001</v>
      </c>
      <c r="G125" s="145"/>
      <c r="H125" s="798">
        <v>41.314461538000003</v>
      </c>
      <c r="I125" s="798">
        <v>44.980675675999997</v>
      </c>
      <c r="J125" s="798">
        <v>45.413600000000002</v>
      </c>
      <c r="K125" s="798">
        <v>45.259411765000003</v>
      </c>
      <c r="L125" s="798">
        <v>67.092830188999997</v>
      </c>
      <c r="M125" s="145"/>
      <c r="N125" s="798">
        <v>37.413174603000002</v>
      </c>
      <c r="O125" s="798">
        <v>41.227291667000003</v>
      </c>
      <c r="P125" s="798">
        <v>41.881326530999999</v>
      </c>
      <c r="Q125" s="798">
        <v>41.825073529000001</v>
      </c>
      <c r="R125" s="798">
        <v>63.409622642000002</v>
      </c>
      <c r="V125" s="145"/>
      <c r="AC125" s="145"/>
      <c r="AJ125" s="145"/>
      <c r="AQ125" s="145"/>
    </row>
    <row r="126" spans="1:146">
      <c r="A126" s="935">
        <v>41699</v>
      </c>
      <c r="B126" s="138">
        <v>43.273108108000002</v>
      </c>
      <c r="C126" s="138">
        <v>52.036666666999999</v>
      </c>
      <c r="D126" s="138">
        <v>51.929166666999997</v>
      </c>
      <c r="E126" s="138">
        <v>52.011818181999999</v>
      </c>
      <c r="F126" s="138">
        <v>74.753454544999997</v>
      </c>
      <c r="G126" s="145"/>
      <c r="H126" s="138">
        <v>35.560405404999997</v>
      </c>
      <c r="I126" s="138">
        <v>44.769014085000002</v>
      </c>
      <c r="J126" s="138">
        <v>45.158541667000001</v>
      </c>
      <c r="K126" s="138">
        <v>45.145909091</v>
      </c>
      <c r="L126" s="138">
        <v>67.353818181999998</v>
      </c>
      <c r="M126" s="145"/>
      <c r="N126" s="138">
        <v>31.658263889000001</v>
      </c>
      <c r="O126" s="138">
        <v>40.988913042999997</v>
      </c>
      <c r="P126" s="138">
        <v>41.623723404000003</v>
      </c>
      <c r="Q126" s="138">
        <v>41.702045454999997</v>
      </c>
      <c r="R126" s="138">
        <v>63.654000000000003</v>
      </c>
      <c r="V126" s="145"/>
      <c r="AC126" s="145"/>
      <c r="AJ126" s="145"/>
      <c r="AQ126" s="145"/>
    </row>
    <row r="127" spans="1:146">
      <c r="A127" s="934">
        <v>41730</v>
      </c>
      <c r="B127" s="798">
        <v>43.631290323000002</v>
      </c>
      <c r="C127" s="798">
        <v>50.134383561999996</v>
      </c>
      <c r="D127" s="798">
        <v>50.593333332999997</v>
      </c>
      <c r="E127" s="798">
        <v>50.696417910000001</v>
      </c>
      <c r="F127" s="798">
        <v>73.266964286000004</v>
      </c>
      <c r="G127" s="145"/>
      <c r="H127" s="798">
        <v>35.96</v>
      </c>
      <c r="I127" s="798">
        <v>42.809722221999998</v>
      </c>
      <c r="J127" s="798">
        <v>43.555833333000002</v>
      </c>
      <c r="K127" s="798">
        <v>43.632537313</v>
      </c>
      <c r="L127" s="798">
        <v>65.868750000000006</v>
      </c>
      <c r="M127" s="145"/>
      <c r="N127" s="798">
        <v>32.093790323</v>
      </c>
      <c r="O127" s="798">
        <v>38.932499999999997</v>
      </c>
      <c r="P127" s="798">
        <v>39.850638298</v>
      </c>
      <c r="Q127" s="798">
        <v>40.089850746000003</v>
      </c>
      <c r="R127" s="798">
        <v>62.169642856999999</v>
      </c>
      <c r="V127" s="145"/>
      <c r="AC127" s="145"/>
      <c r="AJ127" s="145"/>
      <c r="AQ127" s="145"/>
    </row>
    <row r="128" spans="1:146">
      <c r="A128" s="935">
        <v>41760</v>
      </c>
      <c r="B128" s="138">
        <v>49.175405404999999</v>
      </c>
      <c r="C128" s="138">
        <v>51.024999999999999</v>
      </c>
      <c r="D128" s="138">
        <v>51.408163264999999</v>
      </c>
      <c r="E128" s="138">
        <v>51.336716418000002</v>
      </c>
      <c r="F128" s="138">
        <v>74.542592592999995</v>
      </c>
      <c r="G128" s="145"/>
      <c r="H128" s="138">
        <v>41.541216216000002</v>
      </c>
      <c r="I128" s="138">
        <v>43.546438356000003</v>
      </c>
      <c r="J128" s="138">
        <v>44.195918366999997</v>
      </c>
      <c r="K128" s="138">
        <v>44.142089552000002</v>
      </c>
      <c r="L128" s="138">
        <v>66.983703704000007</v>
      </c>
      <c r="M128" s="145"/>
      <c r="N128" s="138">
        <v>37.683888889000002</v>
      </c>
      <c r="O128" s="138">
        <v>39.634718309999997</v>
      </c>
      <c r="P128" s="138">
        <v>40.418750000000003</v>
      </c>
      <c r="Q128" s="138">
        <v>40.534029851</v>
      </c>
      <c r="R128" s="138">
        <v>63.204259258999997</v>
      </c>
      <c r="V128" s="145"/>
      <c r="AC128" s="145"/>
      <c r="AJ128" s="145"/>
      <c r="AQ128" s="145"/>
    </row>
    <row r="129" spans="1:43">
      <c r="A129" s="934">
        <v>41791</v>
      </c>
      <c r="B129" s="798">
        <v>48.609848485000001</v>
      </c>
      <c r="C129" s="798">
        <v>51.065714286000002</v>
      </c>
      <c r="D129" s="798">
        <v>51.061960784</v>
      </c>
      <c r="E129" s="798">
        <v>51.075072464000002</v>
      </c>
      <c r="F129" s="798">
        <v>74.493898305000002</v>
      </c>
      <c r="G129" s="145"/>
      <c r="H129" s="798">
        <v>41.228030302999997</v>
      </c>
      <c r="I129" s="798">
        <v>43.938157895000003</v>
      </c>
      <c r="J129" s="798">
        <v>44.360196078000001</v>
      </c>
      <c r="K129" s="798">
        <v>44.358115941999998</v>
      </c>
      <c r="L129" s="798">
        <v>67.242033898000003</v>
      </c>
      <c r="M129" s="145"/>
      <c r="N129" s="798">
        <v>37.425151515000003</v>
      </c>
      <c r="O129" s="798">
        <v>40.209391891999999</v>
      </c>
      <c r="P129" s="798">
        <v>40.831899999999997</v>
      </c>
      <c r="Q129" s="798">
        <v>40.973550725000003</v>
      </c>
      <c r="R129" s="798">
        <v>63.597796610000003</v>
      </c>
      <c r="V129" s="145"/>
      <c r="AC129" s="145"/>
      <c r="AJ129" s="145"/>
      <c r="AQ129" s="145"/>
    </row>
    <row r="130" spans="1:43">
      <c r="A130" s="935">
        <v>41821</v>
      </c>
      <c r="B130" s="138">
        <v>47.136842104999999</v>
      </c>
      <c r="C130" s="138">
        <v>52.497945205000001</v>
      </c>
      <c r="D130" s="138">
        <v>52.720208333000002</v>
      </c>
      <c r="E130" s="138">
        <v>52.503823529000002</v>
      </c>
      <c r="F130" s="138">
        <v>73.139285713999996</v>
      </c>
      <c r="G130" s="145"/>
      <c r="H130" s="138">
        <v>39.444736841999998</v>
      </c>
      <c r="I130" s="138">
        <v>45.048356163999998</v>
      </c>
      <c r="J130" s="138">
        <v>45.470208333000002</v>
      </c>
      <c r="K130" s="138">
        <v>45.402647059000003</v>
      </c>
      <c r="L130" s="138">
        <v>65.860535713999994</v>
      </c>
      <c r="M130" s="145"/>
      <c r="N130" s="138">
        <v>35.518445946</v>
      </c>
      <c r="O130" s="138">
        <v>41.325273973000002</v>
      </c>
      <c r="P130" s="138">
        <v>41.785208333</v>
      </c>
      <c r="Q130" s="138">
        <v>41.825588234999998</v>
      </c>
      <c r="R130" s="138">
        <v>62.201875000000001</v>
      </c>
      <c r="V130" s="145"/>
      <c r="AC130" s="145"/>
      <c r="AJ130" s="145"/>
      <c r="AQ130" s="145"/>
    </row>
    <row r="131" spans="1:43">
      <c r="A131" s="934">
        <v>41852</v>
      </c>
      <c r="B131" s="798">
        <v>50.24</v>
      </c>
      <c r="C131" s="798">
        <v>51.581538461999997</v>
      </c>
      <c r="D131" s="798">
        <v>51.627450979999999</v>
      </c>
      <c r="E131" s="798">
        <v>51.667142857000002</v>
      </c>
      <c r="F131" s="798">
        <v>72.972166666999996</v>
      </c>
      <c r="G131" s="145"/>
      <c r="H131" s="798">
        <v>42.97</v>
      </c>
      <c r="I131" s="798">
        <v>44.455064935000003</v>
      </c>
      <c r="J131" s="798">
        <v>44.925686274999997</v>
      </c>
      <c r="K131" s="798">
        <v>44.874714286</v>
      </c>
      <c r="L131" s="798">
        <v>65.748666666999995</v>
      </c>
      <c r="M131" s="145"/>
      <c r="N131" s="798">
        <v>39.211833333000001</v>
      </c>
      <c r="O131" s="798">
        <v>40.739400000000003</v>
      </c>
      <c r="P131" s="798">
        <v>41.408700000000003</v>
      </c>
      <c r="Q131" s="798">
        <v>41.452785714000001</v>
      </c>
      <c r="R131" s="798">
        <v>62.118916667000001</v>
      </c>
      <c r="V131" s="145"/>
      <c r="AC131" s="145"/>
      <c r="AJ131" s="145"/>
      <c r="AQ131" s="145"/>
    </row>
    <row r="132" spans="1:43">
      <c r="A132" s="935">
        <v>41883</v>
      </c>
      <c r="B132" s="138">
        <v>51.910588234999999</v>
      </c>
      <c r="C132" s="138">
        <v>53.509166667000002</v>
      </c>
      <c r="D132" s="138">
        <v>53.827021277</v>
      </c>
      <c r="E132" s="138">
        <v>53.261884058</v>
      </c>
      <c r="F132" s="138">
        <v>74.887058823999993</v>
      </c>
      <c r="G132" s="145"/>
      <c r="H132" s="138">
        <v>44.747647059000002</v>
      </c>
      <c r="I132" s="138">
        <v>46.264444443999999</v>
      </c>
      <c r="J132" s="138">
        <v>46.729148936000001</v>
      </c>
      <c r="K132" s="138">
        <v>46.362753623000003</v>
      </c>
      <c r="L132" s="138">
        <v>67.551176471000005</v>
      </c>
      <c r="M132" s="145"/>
      <c r="N132" s="138">
        <v>41.057499999999997</v>
      </c>
      <c r="O132" s="138">
        <v>42.643819444000002</v>
      </c>
      <c r="P132" s="138">
        <v>43.118936169999998</v>
      </c>
      <c r="Q132" s="138">
        <v>42.887101448999999</v>
      </c>
      <c r="R132" s="138">
        <v>63.862058824000002</v>
      </c>
      <c r="V132" s="145"/>
      <c r="AC132" s="145"/>
      <c r="AJ132" s="145"/>
      <c r="AQ132" s="145"/>
    </row>
    <row r="133" spans="1:43">
      <c r="A133" s="934">
        <v>41913</v>
      </c>
      <c r="B133" s="798">
        <v>47.774852940999999</v>
      </c>
      <c r="C133" s="798">
        <v>53.114861111000003</v>
      </c>
      <c r="D133" s="798">
        <v>53.532978722999999</v>
      </c>
      <c r="E133" s="798">
        <v>52.882463768000001</v>
      </c>
      <c r="F133" s="798">
        <v>73.599454545</v>
      </c>
      <c r="G133" s="145"/>
      <c r="H133" s="798">
        <v>40.565588235</v>
      </c>
      <c r="I133" s="798">
        <v>45.770138889000002</v>
      </c>
      <c r="J133" s="798">
        <v>46.281914894000003</v>
      </c>
      <c r="K133" s="798">
        <v>45.833333332999999</v>
      </c>
      <c r="L133" s="798">
        <v>66.343272726999999</v>
      </c>
      <c r="M133" s="145"/>
      <c r="N133" s="798">
        <v>36.846617647000002</v>
      </c>
      <c r="O133" s="798">
        <v>42.099513889000001</v>
      </c>
      <c r="P133" s="798">
        <v>42.595106383000001</v>
      </c>
      <c r="Q133" s="798">
        <v>42.282681158999999</v>
      </c>
      <c r="R133" s="798">
        <v>62.695545455000001</v>
      </c>
      <c r="V133" s="145"/>
      <c r="AC133" s="145"/>
      <c r="AJ133" s="145"/>
      <c r="AQ133" s="145"/>
    </row>
    <row r="134" spans="1:43">
      <c r="A134" s="935">
        <v>41944</v>
      </c>
      <c r="B134" s="138">
        <v>47.682424242000003</v>
      </c>
      <c r="C134" s="138">
        <v>52.511621622</v>
      </c>
      <c r="D134" s="138">
        <v>53.069361702000002</v>
      </c>
      <c r="E134" s="138">
        <v>55.099090908999997</v>
      </c>
      <c r="F134" s="138">
        <v>72.873442623000003</v>
      </c>
      <c r="G134" s="145"/>
      <c r="H134" s="138">
        <v>40.325151515000002</v>
      </c>
      <c r="I134" s="138">
        <v>45.044054054</v>
      </c>
      <c r="J134" s="138">
        <v>45.764042553000003</v>
      </c>
      <c r="K134" s="138">
        <v>48.036818181999998</v>
      </c>
      <c r="L134" s="138">
        <v>65.37295082</v>
      </c>
      <c r="M134" s="145"/>
      <c r="N134" s="138">
        <v>36.528712120999998</v>
      </c>
      <c r="O134" s="138">
        <v>41.280743243000003</v>
      </c>
      <c r="P134" s="138">
        <v>42.050106382999999</v>
      </c>
      <c r="Q134" s="138">
        <v>44.494772726999997</v>
      </c>
      <c r="R134" s="138">
        <v>61.604999999999997</v>
      </c>
      <c r="V134" s="145"/>
      <c r="AC134" s="145"/>
      <c r="AJ134" s="145"/>
      <c r="AQ134" s="145"/>
    </row>
    <row r="135" spans="1:43">
      <c r="A135" s="934">
        <v>41974</v>
      </c>
      <c r="B135" s="798">
        <v>48.891714286000003</v>
      </c>
      <c r="C135" s="798">
        <v>53.113378378</v>
      </c>
      <c r="D135" s="798">
        <v>53.568085105999998</v>
      </c>
      <c r="E135" s="798">
        <v>53.421267606000001</v>
      </c>
      <c r="F135" s="798">
        <v>73.477627119000005</v>
      </c>
      <c r="G135" s="145"/>
      <c r="H135" s="798">
        <v>41.643380282000003</v>
      </c>
      <c r="I135" s="798">
        <v>45.645810810999997</v>
      </c>
      <c r="J135" s="798">
        <v>46.262765956999999</v>
      </c>
      <c r="K135" s="798">
        <v>46.131267606000002</v>
      </c>
      <c r="L135" s="798">
        <v>66.027966101999993</v>
      </c>
      <c r="M135" s="145"/>
      <c r="N135" s="798">
        <v>37.834366197000001</v>
      </c>
      <c r="O135" s="798">
        <v>41.8825</v>
      </c>
      <c r="P135" s="798">
        <v>42.548829787000003</v>
      </c>
      <c r="Q135" s="798">
        <v>42.460915493000002</v>
      </c>
      <c r="R135" s="798">
        <v>62.284830507999999</v>
      </c>
      <c r="V135" s="145"/>
      <c r="AC135" s="145"/>
      <c r="AJ135" s="145"/>
      <c r="AQ135" s="145"/>
    </row>
    <row r="136" spans="1:43">
      <c r="A136" s="935">
        <v>42005</v>
      </c>
      <c r="B136" s="138">
        <v>47.418484847999999</v>
      </c>
      <c r="C136" s="138">
        <v>51.633561643999997</v>
      </c>
      <c r="D136" s="138">
        <v>52.284782608999997</v>
      </c>
      <c r="E136" s="138">
        <v>52.209577465000002</v>
      </c>
      <c r="F136" s="138">
        <v>73.277192982000003</v>
      </c>
      <c r="G136" s="145"/>
      <c r="H136" s="138">
        <v>40.107575758000003</v>
      </c>
      <c r="I136" s="138">
        <v>44.285616437999998</v>
      </c>
      <c r="J136" s="138">
        <v>45.172826086999997</v>
      </c>
      <c r="K136" s="138">
        <v>45.046338028000001</v>
      </c>
      <c r="L136" s="138">
        <v>65.766140351000004</v>
      </c>
      <c r="M136" s="145"/>
      <c r="N136" s="138">
        <v>36.340151515000002</v>
      </c>
      <c r="O136" s="138">
        <v>40.581712328999998</v>
      </c>
      <c r="P136" s="138">
        <v>41.554239129999999</v>
      </c>
      <c r="Q136" s="138">
        <v>41.439366196999998</v>
      </c>
      <c r="R136" s="138">
        <v>61.991666666999997</v>
      </c>
      <c r="V136" s="145"/>
      <c r="AC136" s="145"/>
      <c r="AJ136" s="145"/>
      <c r="AQ136" s="145"/>
    </row>
    <row r="137" spans="1:43">
      <c r="A137" s="934">
        <v>42036</v>
      </c>
      <c r="B137" s="798">
        <v>47.325652173999998</v>
      </c>
      <c r="C137" s="798">
        <v>50.627945205000003</v>
      </c>
      <c r="D137" s="798">
        <v>51.377608696000003</v>
      </c>
      <c r="E137" s="798">
        <v>51.365070422999999</v>
      </c>
      <c r="F137" s="798">
        <v>72.546909091000003</v>
      </c>
      <c r="G137" s="145"/>
      <c r="H137" s="798">
        <v>39.871304348000002</v>
      </c>
      <c r="I137" s="798">
        <v>43.258630136999997</v>
      </c>
      <c r="J137" s="798">
        <v>44.265652174000003</v>
      </c>
      <c r="K137" s="798">
        <v>44.179859155000003</v>
      </c>
      <c r="L137" s="798">
        <v>64.911636364000003</v>
      </c>
      <c r="M137" s="145"/>
      <c r="N137" s="798">
        <v>35.970144928000003</v>
      </c>
      <c r="O137" s="798">
        <v>39.544041096000001</v>
      </c>
      <c r="P137" s="798">
        <v>40.647065216999998</v>
      </c>
      <c r="Q137" s="798">
        <v>40.561901407999997</v>
      </c>
      <c r="R137" s="798">
        <v>61.074363636000001</v>
      </c>
      <c r="V137" s="145"/>
      <c r="AC137" s="145"/>
      <c r="AJ137" s="145"/>
      <c r="AQ137" s="145"/>
    </row>
    <row r="138" spans="1:43">
      <c r="A138" s="935">
        <v>42064</v>
      </c>
      <c r="B138" s="138">
        <v>42.691875000000003</v>
      </c>
      <c r="C138" s="138">
        <v>49.903513513999997</v>
      </c>
      <c r="D138" s="138">
        <v>50.515531914999997</v>
      </c>
      <c r="E138" s="138">
        <v>50.371408451000001</v>
      </c>
      <c r="F138" s="138">
        <v>72.228035714000001</v>
      </c>
      <c r="G138" s="145"/>
      <c r="H138" s="138">
        <v>35.521250000000002</v>
      </c>
      <c r="I138" s="138">
        <v>42.536486486000001</v>
      </c>
      <c r="J138" s="138">
        <v>43.401702127999997</v>
      </c>
      <c r="K138" s="138">
        <v>43.186197182999997</v>
      </c>
      <c r="L138" s="138">
        <v>64.559285713999998</v>
      </c>
      <c r="M138" s="145"/>
      <c r="N138" s="138">
        <v>31.7228125</v>
      </c>
      <c r="O138" s="138">
        <v>38.823445946</v>
      </c>
      <c r="P138" s="138">
        <v>39.783510638000003</v>
      </c>
      <c r="Q138" s="138">
        <v>39.568239437000003</v>
      </c>
      <c r="R138" s="138">
        <v>60.705624999999998</v>
      </c>
      <c r="V138" s="145"/>
      <c r="AC138" s="145"/>
      <c r="AJ138" s="145"/>
      <c r="AQ138" s="145"/>
    </row>
    <row r="139" spans="1:43">
      <c r="A139" s="934">
        <v>42095</v>
      </c>
      <c r="B139" s="798">
        <v>42.512812500000003</v>
      </c>
      <c r="C139" s="798">
        <v>49.389589041000001</v>
      </c>
      <c r="D139" s="798">
        <v>49.918695651999997</v>
      </c>
      <c r="E139" s="798">
        <v>49.910422535000002</v>
      </c>
      <c r="F139" s="798">
        <v>70.841454545000005</v>
      </c>
      <c r="G139" s="145"/>
      <c r="H139" s="798">
        <v>35.190312499999997</v>
      </c>
      <c r="I139" s="798">
        <v>42.061369863000003</v>
      </c>
      <c r="J139" s="798">
        <v>42.806739129999997</v>
      </c>
      <c r="K139" s="798">
        <v>42.746338027999997</v>
      </c>
      <c r="L139" s="798">
        <v>63.332727273000003</v>
      </c>
      <c r="M139" s="145"/>
      <c r="N139" s="798">
        <v>31.2925</v>
      </c>
      <c r="O139" s="798">
        <v>38.367328766999997</v>
      </c>
      <c r="P139" s="798">
        <v>39.188152174000003</v>
      </c>
      <c r="Q139" s="798">
        <v>39.138943662000003</v>
      </c>
      <c r="R139" s="798">
        <v>59.558727273000002</v>
      </c>
      <c r="V139" s="145"/>
      <c r="AC139" s="145"/>
      <c r="AJ139" s="145"/>
      <c r="AQ139" s="145"/>
    </row>
    <row r="140" spans="1:43">
      <c r="A140" s="935">
        <v>42125</v>
      </c>
      <c r="B140" s="138">
        <v>39.786562500000002</v>
      </c>
      <c r="C140" s="138">
        <v>48.440958903999999</v>
      </c>
      <c r="D140" s="138">
        <v>49.440652174</v>
      </c>
      <c r="E140" s="138">
        <v>49.607464788999998</v>
      </c>
      <c r="F140" s="138">
        <v>71.372830188999998</v>
      </c>
      <c r="G140" s="145"/>
      <c r="H140" s="138">
        <v>32.39421875</v>
      </c>
      <c r="I140" s="138">
        <v>41.112739726000001</v>
      </c>
      <c r="J140" s="138">
        <v>42.250434783000003</v>
      </c>
      <c r="K140" s="138">
        <v>42.392676055999999</v>
      </c>
      <c r="L140" s="138">
        <v>63.641886792000001</v>
      </c>
      <c r="M140" s="145"/>
      <c r="N140" s="138">
        <v>28.4765625</v>
      </c>
      <c r="O140" s="138">
        <v>37.418698630000002</v>
      </c>
      <c r="P140" s="138">
        <v>38.592717391000001</v>
      </c>
      <c r="Q140" s="138">
        <v>38.759929577000001</v>
      </c>
      <c r="R140" s="138">
        <v>59.756037736000003</v>
      </c>
      <c r="V140" s="145"/>
      <c r="AC140" s="145"/>
      <c r="AJ140" s="145"/>
      <c r="AQ140" s="145"/>
    </row>
    <row r="141" spans="1:43">
      <c r="A141" s="934">
        <v>42156</v>
      </c>
      <c r="B141" s="798">
        <v>33.427794118000001</v>
      </c>
      <c r="C141" s="798">
        <v>47.206056338000003</v>
      </c>
      <c r="D141" s="798">
        <v>48.856363635999998</v>
      </c>
      <c r="E141" s="798">
        <v>49.167826087000002</v>
      </c>
      <c r="F141" s="798">
        <v>70.771428571000001</v>
      </c>
      <c r="G141" s="145"/>
      <c r="H141" s="798">
        <v>25.927205881999999</v>
      </c>
      <c r="I141" s="798">
        <v>39.890281690000002</v>
      </c>
      <c r="J141" s="798">
        <v>41.692500000000003</v>
      </c>
      <c r="K141" s="798">
        <v>41.991739129999999</v>
      </c>
      <c r="L141" s="798">
        <v>63.103749999999998</v>
      </c>
      <c r="M141" s="145"/>
      <c r="N141" s="798">
        <v>21.970441176000001</v>
      </c>
      <c r="O141" s="798">
        <v>36.201619718000003</v>
      </c>
      <c r="P141" s="798">
        <v>38.045113636000004</v>
      </c>
      <c r="Q141" s="798">
        <v>38.377608696000003</v>
      </c>
      <c r="R141" s="798">
        <v>59.250624999999999</v>
      </c>
      <c r="V141" s="145"/>
      <c r="AC141" s="145"/>
      <c r="AJ141" s="145"/>
      <c r="AQ141" s="145"/>
    </row>
    <row r="142" spans="1:43">
      <c r="A142" s="935">
        <v>42186</v>
      </c>
      <c r="B142" s="138">
        <v>27.305972222000001</v>
      </c>
      <c r="C142" s="138">
        <v>47.177945205</v>
      </c>
      <c r="D142" s="138">
        <v>48.604468085000001</v>
      </c>
      <c r="E142" s="138">
        <v>49.080428570999999</v>
      </c>
      <c r="F142" s="138">
        <v>69.155862068999994</v>
      </c>
      <c r="G142" s="145"/>
      <c r="H142" s="138">
        <v>19.809861111</v>
      </c>
      <c r="I142" s="138">
        <v>39.842328766999998</v>
      </c>
      <c r="J142" s="138">
        <v>41.402553191000003</v>
      </c>
      <c r="K142" s="138">
        <v>41.88</v>
      </c>
      <c r="L142" s="138">
        <v>61.387413793</v>
      </c>
      <c r="M142" s="145"/>
      <c r="N142" s="138">
        <v>15.887638889</v>
      </c>
      <c r="O142" s="138">
        <v>36.144589041000003</v>
      </c>
      <c r="P142" s="138">
        <v>37.740319149000001</v>
      </c>
      <c r="Q142" s="138">
        <v>38.254071429</v>
      </c>
      <c r="R142" s="138">
        <v>57.484568965999998</v>
      </c>
      <c r="V142" s="145"/>
      <c r="AC142" s="145"/>
      <c r="AJ142" s="145"/>
      <c r="AQ142" s="145"/>
    </row>
    <row r="143" spans="1:43">
      <c r="A143" s="934">
        <v>42217</v>
      </c>
      <c r="B143" s="798">
        <v>35.286029411999998</v>
      </c>
      <c r="C143" s="798">
        <v>46.904166666999998</v>
      </c>
      <c r="D143" s="798">
        <v>48.404347825999999</v>
      </c>
      <c r="E143" s="798">
        <v>48.928695652000002</v>
      </c>
      <c r="F143" s="798">
        <v>67.070714285999998</v>
      </c>
      <c r="G143" s="145"/>
      <c r="H143" s="798">
        <v>27.619264705999999</v>
      </c>
      <c r="I143" s="798">
        <v>39.566666667</v>
      </c>
      <c r="J143" s="798">
        <v>41.202391304000002</v>
      </c>
      <c r="K143" s="798">
        <v>41.72826087</v>
      </c>
      <c r="L143" s="798">
        <v>59.142678570999998</v>
      </c>
      <c r="M143" s="145"/>
      <c r="N143" s="798">
        <v>23.762499999999999</v>
      </c>
      <c r="O143" s="798">
        <v>35.867569443999997</v>
      </c>
      <c r="P143" s="798">
        <v>37.538804347999999</v>
      </c>
      <c r="Q143" s="798">
        <v>38.101956522000002</v>
      </c>
      <c r="R143" s="798">
        <v>55.159374999999997</v>
      </c>
      <c r="V143" s="145"/>
      <c r="AC143" s="145"/>
      <c r="AJ143" s="145"/>
      <c r="AQ143" s="145"/>
    </row>
    <row r="144" spans="1:43">
      <c r="A144" s="935">
        <v>42248</v>
      </c>
      <c r="B144" s="138">
        <v>39.025972222</v>
      </c>
      <c r="C144" s="138">
        <v>45.857534246999997</v>
      </c>
      <c r="D144" s="138">
        <v>47.463958333000001</v>
      </c>
      <c r="E144" s="138">
        <v>47.691000000000003</v>
      </c>
      <c r="F144" s="138">
        <v>69.321320755000002</v>
      </c>
      <c r="G144" s="145"/>
      <c r="H144" s="138">
        <v>31.271388889000001</v>
      </c>
      <c r="I144" s="138">
        <v>38.521917807999998</v>
      </c>
      <c r="J144" s="138">
        <v>40.153958332999999</v>
      </c>
      <c r="K144" s="138">
        <v>40.416428570999997</v>
      </c>
      <c r="L144" s="138">
        <v>61.438113207999997</v>
      </c>
      <c r="M144" s="145"/>
      <c r="N144" s="138">
        <v>27.352777778</v>
      </c>
      <c r="O144" s="138">
        <v>34.824178082000003</v>
      </c>
      <c r="P144" s="138">
        <v>36.430937499999999</v>
      </c>
      <c r="Q144" s="138">
        <v>36.747928571000003</v>
      </c>
      <c r="R144" s="138">
        <v>57.476132075000002</v>
      </c>
      <c r="V144" s="145"/>
      <c r="AC144" s="145"/>
      <c r="AJ144" s="145"/>
      <c r="AQ144" s="145"/>
    </row>
    <row r="145" spans="1:43">
      <c r="A145" s="934">
        <v>42278</v>
      </c>
      <c r="B145" s="798">
        <v>42.295142857000002</v>
      </c>
      <c r="C145" s="798">
        <v>45.815890410999998</v>
      </c>
      <c r="D145" s="798">
        <v>46.946874999999999</v>
      </c>
      <c r="E145" s="798">
        <v>46.988873239</v>
      </c>
      <c r="F145" s="798">
        <v>68.975925926000002</v>
      </c>
      <c r="G145" s="145"/>
      <c r="H145" s="798">
        <v>34.516142856999998</v>
      </c>
      <c r="I145" s="798">
        <v>38.344657534</v>
      </c>
      <c r="J145" s="798">
        <v>39.461874999999999</v>
      </c>
      <c r="K145" s="798">
        <v>39.580985914999999</v>
      </c>
      <c r="L145" s="798">
        <v>61.020925925999997</v>
      </c>
      <c r="M145" s="145"/>
      <c r="N145" s="798">
        <v>30.494142857</v>
      </c>
      <c r="O145" s="798">
        <v>34.579109588999998</v>
      </c>
      <c r="P145" s="798">
        <v>35.651354167000001</v>
      </c>
      <c r="Q145" s="798">
        <v>35.846267605999998</v>
      </c>
      <c r="R145" s="798">
        <v>57.023425926000002</v>
      </c>
      <c r="V145" s="145"/>
      <c r="AC145" s="145"/>
      <c r="AJ145" s="145"/>
      <c r="AQ145" s="145"/>
    </row>
    <row r="146" spans="1:43">
      <c r="A146" s="935">
        <v>42309</v>
      </c>
      <c r="B146" s="138">
        <v>44.104647886999999</v>
      </c>
      <c r="C146" s="138">
        <v>45.648666667000001</v>
      </c>
      <c r="D146" s="138">
        <v>46.467500000000001</v>
      </c>
      <c r="E146" s="138">
        <v>46.493561644000003</v>
      </c>
      <c r="F146" s="138">
        <v>68.690344827999994</v>
      </c>
      <c r="G146" s="145"/>
      <c r="H146" s="138">
        <v>36.384507042000003</v>
      </c>
      <c r="I146" s="138">
        <v>38.243866666999999</v>
      </c>
      <c r="J146" s="138">
        <v>39.067500000000003</v>
      </c>
      <c r="K146" s="138">
        <v>39.147260273999997</v>
      </c>
      <c r="L146" s="138">
        <v>60.892413793000003</v>
      </c>
      <c r="M146" s="145"/>
      <c r="N146" s="138">
        <v>32.407887324000001</v>
      </c>
      <c r="O146" s="138">
        <v>34.512333333000001</v>
      </c>
      <c r="P146" s="138">
        <v>35.299479167000001</v>
      </c>
      <c r="Q146" s="138">
        <v>35.444178082000001</v>
      </c>
      <c r="R146" s="138">
        <v>56.974827586000004</v>
      </c>
      <c r="V146" s="145"/>
      <c r="AC146" s="145"/>
      <c r="AJ146" s="145"/>
      <c r="AQ146" s="145"/>
    </row>
    <row r="147" spans="1:43">
      <c r="A147" s="934">
        <v>42339</v>
      </c>
      <c r="B147" s="798">
        <v>38.900937499999998</v>
      </c>
      <c r="C147" s="798">
        <v>43.344594594999997</v>
      </c>
      <c r="D147" s="798">
        <v>44.564893617000003</v>
      </c>
      <c r="E147" s="798">
        <v>44.79</v>
      </c>
      <c r="F147" s="798">
        <v>68.842105262999993</v>
      </c>
      <c r="G147" s="145"/>
      <c r="H147" s="798">
        <v>31.013281249999999</v>
      </c>
      <c r="I147" s="798">
        <v>35.786621621999998</v>
      </c>
      <c r="J147" s="798">
        <v>36.981914893999999</v>
      </c>
      <c r="K147" s="798">
        <v>37.291232876999999</v>
      </c>
      <c r="L147" s="798">
        <v>60.933157895000001</v>
      </c>
      <c r="M147" s="145"/>
      <c r="N147" s="798">
        <v>27.07453125</v>
      </c>
      <c r="O147" s="798">
        <v>31.978108108000001</v>
      </c>
      <c r="P147" s="798">
        <v>33.120957447000002</v>
      </c>
      <c r="Q147" s="798">
        <v>33.511917808</v>
      </c>
      <c r="R147" s="798">
        <v>56.959736841999998</v>
      </c>
      <c r="V147" s="145"/>
      <c r="AC147" s="145"/>
      <c r="AJ147" s="145"/>
      <c r="AQ147" s="145"/>
    </row>
    <row r="148" spans="1:43">
      <c r="A148" s="935">
        <v>42370</v>
      </c>
      <c r="B148" s="138">
        <v>51.984354838999998</v>
      </c>
      <c r="C148" s="138">
        <v>43.597027027000003</v>
      </c>
      <c r="D148" s="138">
        <v>44.718723404000002</v>
      </c>
      <c r="E148" s="138">
        <v>44.682361110999999</v>
      </c>
      <c r="F148" s="138">
        <v>67.501636364000007</v>
      </c>
      <c r="G148" s="145"/>
      <c r="H148" s="138">
        <v>44.174354839000003</v>
      </c>
      <c r="I148" s="138">
        <v>36.009864864999997</v>
      </c>
      <c r="J148" s="138">
        <v>37.089787233999999</v>
      </c>
      <c r="K148" s="138">
        <v>37.166111110999999</v>
      </c>
      <c r="L148" s="138">
        <v>59.605636363999999</v>
      </c>
      <c r="M148" s="145"/>
      <c r="N148" s="138">
        <v>40.214919354999999</v>
      </c>
      <c r="O148" s="138">
        <v>32.186756756999998</v>
      </c>
      <c r="P148" s="138">
        <v>33.205851064000001</v>
      </c>
      <c r="Q148" s="138">
        <v>33.377638889000004</v>
      </c>
      <c r="R148" s="138">
        <v>55.637999999999998</v>
      </c>
      <c r="V148" s="145"/>
      <c r="AC148" s="145"/>
      <c r="AJ148" s="145"/>
      <c r="AQ148" s="145"/>
    </row>
    <row r="149" spans="1:43">
      <c r="A149" s="934">
        <v>42401</v>
      </c>
      <c r="B149" s="798">
        <v>39.482166667000001</v>
      </c>
      <c r="C149" s="798">
        <v>42.481486486000001</v>
      </c>
      <c r="D149" s="798">
        <v>43.253260869999998</v>
      </c>
      <c r="E149" s="798">
        <v>42.837361111</v>
      </c>
      <c r="F149" s="798">
        <v>69.114444444</v>
      </c>
      <c r="G149" s="145"/>
      <c r="H149" s="798">
        <v>31.518833333</v>
      </c>
      <c r="I149" s="798">
        <v>34.878108107999999</v>
      </c>
      <c r="J149" s="798">
        <v>35.544565216999999</v>
      </c>
      <c r="K149" s="798">
        <v>35.304861111000001</v>
      </c>
      <c r="L149" s="798">
        <v>61.248333332999998</v>
      </c>
      <c r="M149" s="145"/>
      <c r="N149" s="798">
        <v>27.593916666999998</v>
      </c>
      <c r="O149" s="798">
        <v>31.046891892000001</v>
      </c>
      <c r="P149" s="798">
        <v>31.61923913</v>
      </c>
      <c r="Q149" s="798">
        <v>31.508263888999998</v>
      </c>
      <c r="R149" s="798">
        <v>57.295277777999999</v>
      </c>
      <c r="V149" s="145"/>
      <c r="AC149" s="145"/>
      <c r="AJ149" s="145"/>
      <c r="AQ149" s="145"/>
    </row>
    <row r="150" spans="1:43">
      <c r="A150" s="935">
        <v>42430</v>
      </c>
      <c r="B150" s="138">
        <v>40.431320755000002</v>
      </c>
      <c r="C150" s="138">
        <v>42.034594595000002</v>
      </c>
      <c r="D150" s="138">
        <v>42.325227273000003</v>
      </c>
      <c r="E150" s="138">
        <v>42.153055555999998</v>
      </c>
      <c r="F150" s="138">
        <v>67.836415094000003</v>
      </c>
      <c r="G150" s="145"/>
      <c r="H150" s="138">
        <v>32.748679244999998</v>
      </c>
      <c r="I150" s="138">
        <v>34.661486486000001</v>
      </c>
      <c r="J150" s="138">
        <v>34.817045454999999</v>
      </c>
      <c r="K150" s="138">
        <v>34.735555556000001</v>
      </c>
      <c r="L150" s="138">
        <v>59.982075471999998</v>
      </c>
      <c r="M150" s="145"/>
      <c r="N150" s="138">
        <v>28.841792453</v>
      </c>
      <c r="O150" s="138">
        <v>30.945405404999999</v>
      </c>
      <c r="P150" s="138">
        <v>30.98875</v>
      </c>
      <c r="Q150" s="138">
        <v>30.996458333</v>
      </c>
      <c r="R150" s="138">
        <v>56.034528301999998</v>
      </c>
      <c r="V150" s="145"/>
      <c r="AC150" s="145"/>
      <c r="AJ150" s="145"/>
      <c r="AQ150" s="145"/>
    </row>
    <row r="151" spans="1:43">
      <c r="A151" s="934">
        <v>42461</v>
      </c>
      <c r="B151" s="798">
        <v>40.730535713999998</v>
      </c>
      <c r="C151" s="798">
        <v>42.249726027000001</v>
      </c>
      <c r="D151" s="798">
        <v>42.400930232999997</v>
      </c>
      <c r="E151" s="798">
        <v>42.125142857</v>
      </c>
      <c r="F151" s="798">
        <v>68.530943395999998</v>
      </c>
      <c r="G151" s="145"/>
      <c r="H151" s="798">
        <v>32.955892857000002</v>
      </c>
      <c r="I151" s="798">
        <v>34.874246575000001</v>
      </c>
      <c r="J151" s="798">
        <v>34.885581395000003</v>
      </c>
      <c r="K151" s="798">
        <v>34.701428571000001</v>
      </c>
      <c r="L151" s="798">
        <v>60.599622642</v>
      </c>
      <c r="M151" s="145"/>
      <c r="N151" s="798">
        <v>29.006517856999999</v>
      </c>
      <c r="O151" s="798">
        <v>31.156575342</v>
      </c>
      <c r="P151" s="798">
        <v>31.051976744000001</v>
      </c>
      <c r="Q151" s="798">
        <v>30.958357143000001</v>
      </c>
      <c r="R151" s="798">
        <v>56.613584906</v>
      </c>
      <c r="V151" s="145"/>
      <c r="AC151" s="145"/>
      <c r="AJ151" s="145"/>
      <c r="AQ151" s="145"/>
    </row>
    <row r="152" spans="1:43">
      <c r="A152" s="935">
        <v>42491</v>
      </c>
      <c r="B152" s="138">
        <v>42.287735849000001</v>
      </c>
      <c r="C152" s="138">
        <v>43.622739725999999</v>
      </c>
      <c r="D152" s="138">
        <v>43.819069767000002</v>
      </c>
      <c r="E152" s="138">
        <v>43.694714286</v>
      </c>
      <c r="F152" s="138">
        <v>67.778599999999997</v>
      </c>
      <c r="G152" s="145"/>
      <c r="H152" s="138">
        <v>34.422830189000003</v>
      </c>
      <c r="I152" s="138">
        <v>36.271917807999998</v>
      </c>
      <c r="J152" s="138">
        <v>36.345581395000004</v>
      </c>
      <c r="K152" s="138">
        <v>36.296714285999997</v>
      </c>
      <c r="L152" s="138">
        <v>59.825000000000003</v>
      </c>
      <c r="M152" s="145"/>
      <c r="N152" s="138">
        <v>30.443679244999998</v>
      </c>
      <c r="O152" s="138">
        <v>32.566575342</v>
      </c>
      <c r="P152" s="138">
        <v>32.532906977000003</v>
      </c>
      <c r="Q152" s="138">
        <v>32.566499999999998</v>
      </c>
      <c r="R152" s="138">
        <v>55.826599999999999</v>
      </c>
      <c r="V152" s="145"/>
      <c r="AC152" s="145"/>
      <c r="AJ152" s="145"/>
      <c r="AQ152" s="145"/>
    </row>
    <row r="153" spans="1:43">
      <c r="A153" s="934">
        <v>42522</v>
      </c>
      <c r="B153" s="798">
        <v>51.888448275999998</v>
      </c>
      <c r="C153" s="798">
        <v>45.740273973000001</v>
      </c>
      <c r="D153" s="798">
        <v>45.498604651000001</v>
      </c>
      <c r="E153" s="798">
        <v>45.646999999999998</v>
      </c>
      <c r="F153" s="798">
        <v>68.13</v>
      </c>
      <c r="G153" s="145"/>
      <c r="H153" s="798">
        <v>44.111206897000002</v>
      </c>
      <c r="I153" s="798">
        <v>38.389452055</v>
      </c>
      <c r="J153" s="798">
        <v>38.072558139999998</v>
      </c>
      <c r="K153" s="798">
        <v>38.249000000000002</v>
      </c>
      <c r="L153" s="798">
        <v>59.975333333000002</v>
      </c>
      <c r="M153" s="145"/>
      <c r="N153" s="798">
        <v>40.088534482999997</v>
      </c>
      <c r="O153" s="798">
        <v>34.684109589000002</v>
      </c>
      <c r="P153" s="798">
        <v>34.283604650999997</v>
      </c>
      <c r="Q153" s="798">
        <v>34.518785714000003</v>
      </c>
      <c r="R153" s="798">
        <v>55.874000000000002</v>
      </c>
      <c r="V153" s="145"/>
      <c r="AC153" s="145"/>
      <c r="AJ153" s="145"/>
      <c r="AQ153" s="145"/>
    </row>
    <row r="154" spans="1:43">
      <c r="A154" s="935">
        <v>42552</v>
      </c>
      <c r="B154" s="138">
        <v>47.606346154000001</v>
      </c>
      <c r="C154" s="138">
        <v>46.832162162000003</v>
      </c>
      <c r="D154" s="138">
        <v>46.079318182000002</v>
      </c>
      <c r="E154" s="138">
        <v>45.917183098999999</v>
      </c>
      <c r="F154" s="138">
        <v>69.475581395000006</v>
      </c>
      <c r="G154" s="145"/>
      <c r="H154" s="138">
        <v>39.904423076999997</v>
      </c>
      <c r="I154" s="138">
        <v>39.360135135</v>
      </c>
      <c r="J154" s="138">
        <v>38.614772727000002</v>
      </c>
      <c r="K154" s="138">
        <v>38.494929577000001</v>
      </c>
      <c r="L154" s="138">
        <v>61.463488372</v>
      </c>
      <c r="M154" s="145"/>
      <c r="N154" s="138">
        <v>36.017019230999999</v>
      </c>
      <c r="O154" s="138">
        <v>35.594594594999997</v>
      </c>
      <c r="P154" s="138">
        <v>34.808295455</v>
      </c>
      <c r="Q154" s="138">
        <v>34.753028168999997</v>
      </c>
      <c r="R154" s="138">
        <v>57.432325581000001</v>
      </c>
      <c r="V154" s="145"/>
      <c r="AC154" s="145"/>
      <c r="AJ154" s="145"/>
      <c r="AQ154" s="145"/>
    </row>
    <row r="155" spans="1:43">
      <c r="A155" s="934">
        <v>42583</v>
      </c>
      <c r="B155" s="798">
        <v>49.342407407000003</v>
      </c>
      <c r="C155" s="798">
        <v>47.066621622</v>
      </c>
      <c r="D155" s="798">
        <v>46.311590909000003</v>
      </c>
      <c r="E155" s="798">
        <v>45.753239436999998</v>
      </c>
      <c r="F155" s="798">
        <v>68.471395349000005</v>
      </c>
      <c r="G155" s="145"/>
      <c r="H155" s="798">
        <v>41.661296296000003</v>
      </c>
      <c r="I155" s="798">
        <v>39.594594594999997</v>
      </c>
      <c r="J155" s="798">
        <v>38.847045455</v>
      </c>
      <c r="K155" s="798">
        <v>38.330985914999999</v>
      </c>
      <c r="L155" s="798">
        <v>60.459302326</v>
      </c>
      <c r="M155" s="145"/>
      <c r="N155" s="798">
        <v>37.740648147999998</v>
      </c>
      <c r="O155" s="798">
        <v>35.829054053999997</v>
      </c>
      <c r="P155" s="798">
        <v>35.040568182000001</v>
      </c>
      <c r="Q155" s="798">
        <v>34.589084507000003</v>
      </c>
      <c r="R155" s="798">
        <v>56.428139535</v>
      </c>
      <c r="V155" s="145"/>
      <c r="AC155" s="145"/>
      <c r="AJ155" s="145"/>
      <c r="AQ155" s="145"/>
    </row>
    <row r="156" spans="1:43">
      <c r="A156" s="935">
        <v>42614</v>
      </c>
      <c r="B156" s="138">
        <v>48.253728813999999</v>
      </c>
      <c r="C156" s="138">
        <v>46.930135135</v>
      </c>
      <c r="D156" s="138">
        <v>46.317045454999999</v>
      </c>
      <c r="E156" s="138">
        <v>45.591000000000001</v>
      </c>
      <c r="F156" s="138">
        <v>68.155238095000001</v>
      </c>
      <c r="G156" s="145"/>
      <c r="H156" s="138">
        <v>40.520847457999999</v>
      </c>
      <c r="I156" s="138">
        <v>39.458108107999998</v>
      </c>
      <c r="J156" s="138">
        <v>38.852499999999999</v>
      </c>
      <c r="K156" s="138">
        <v>38.223857142999996</v>
      </c>
      <c r="L156" s="138">
        <v>59.938095238000002</v>
      </c>
      <c r="M156" s="145"/>
      <c r="N156" s="138">
        <v>36.581101695000001</v>
      </c>
      <c r="O156" s="138">
        <v>35.692567568000001</v>
      </c>
      <c r="P156" s="138">
        <v>35.046022727</v>
      </c>
      <c r="Q156" s="138">
        <v>34.493642856999998</v>
      </c>
      <c r="R156" s="138">
        <v>55.803809524000002</v>
      </c>
      <c r="V156" s="145"/>
      <c r="AC156" s="145"/>
      <c r="AJ156" s="145"/>
      <c r="AQ156" s="145"/>
    </row>
    <row r="157" spans="1:43">
      <c r="A157" s="934">
        <v>42644</v>
      </c>
      <c r="B157" s="798">
        <v>55.949193547999997</v>
      </c>
      <c r="C157" s="798">
        <v>51.868243243000002</v>
      </c>
      <c r="D157" s="798">
        <v>49.949090908999999</v>
      </c>
      <c r="E157" s="798">
        <v>48.955211267999999</v>
      </c>
      <c r="F157" s="798">
        <v>68.640697673999995</v>
      </c>
      <c r="G157" s="145"/>
      <c r="H157" s="798">
        <v>48.064032257999997</v>
      </c>
      <c r="I157" s="798">
        <v>44.357297297000002</v>
      </c>
      <c r="J157" s="798">
        <v>42.484545455000003</v>
      </c>
      <c r="K157" s="798">
        <v>41.651267605999998</v>
      </c>
      <c r="L157" s="798">
        <v>60.419302326</v>
      </c>
      <c r="M157" s="145"/>
      <c r="N157" s="798">
        <v>44.051693548000003</v>
      </c>
      <c r="O157" s="798">
        <v>40.572297296999999</v>
      </c>
      <c r="P157" s="798">
        <v>38.678068181999997</v>
      </c>
      <c r="Q157" s="798">
        <v>37.953309859000001</v>
      </c>
      <c r="R157" s="798">
        <v>56.283488372000001</v>
      </c>
      <c r="V157" s="145"/>
      <c r="AC157" s="145"/>
      <c r="AJ157" s="145"/>
      <c r="AQ157" s="145"/>
    </row>
    <row r="158" spans="1:43">
      <c r="A158" s="935">
        <v>42675</v>
      </c>
      <c r="B158" s="138">
        <v>61.004029850999999</v>
      </c>
      <c r="C158" s="138">
        <v>58.088589743999997</v>
      </c>
      <c r="D158" s="138">
        <v>54.110816327000002</v>
      </c>
      <c r="E158" s="138">
        <v>52.429605262999999</v>
      </c>
      <c r="F158" s="138">
        <v>70.121481481000004</v>
      </c>
      <c r="G158" s="145"/>
      <c r="H158" s="138">
        <v>53.417164178999997</v>
      </c>
      <c r="I158" s="138">
        <v>50.639743590000002</v>
      </c>
      <c r="J158" s="138">
        <v>47.056874999999998</v>
      </c>
      <c r="K158" s="138">
        <v>45.126184211000002</v>
      </c>
      <c r="L158" s="138">
        <v>61.912592592999999</v>
      </c>
      <c r="M158" s="145"/>
      <c r="N158" s="138">
        <v>49.559179104000002</v>
      </c>
      <c r="O158" s="138">
        <v>46.887307692</v>
      </c>
      <c r="P158" s="138">
        <v>43.320104166999997</v>
      </c>
      <c r="Q158" s="138">
        <v>41.445723684000001</v>
      </c>
      <c r="R158" s="138">
        <v>57.788148147999998</v>
      </c>
      <c r="V158" s="145"/>
      <c r="AC158" s="145"/>
      <c r="AJ158" s="145"/>
      <c r="AQ158" s="145"/>
    </row>
    <row r="159" spans="1:43">
      <c r="A159" s="934">
        <v>42705</v>
      </c>
      <c r="B159" s="798">
        <v>53.2</v>
      </c>
      <c r="C159" s="798">
        <v>50.3</v>
      </c>
      <c r="D159" s="798">
        <v>48.7</v>
      </c>
      <c r="E159" s="798">
        <v>47.9</v>
      </c>
      <c r="F159" s="798">
        <v>71.400000000000006</v>
      </c>
      <c r="G159" s="145"/>
      <c r="H159" s="798">
        <v>45.4</v>
      </c>
      <c r="I159" s="798">
        <v>42.9</v>
      </c>
      <c r="J159" s="798">
        <v>41.5</v>
      </c>
      <c r="K159" s="798">
        <v>40.5</v>
      </c>
      <c r="L159" s="798">
        <v>63.1</v>
      </c>
      <c r="M159" s="145"/>
      <c r="N159" s="798">
        <v>41.4</v>
      </c>
      <c r="O159" s="798">
        <v>39.200000000000003</v>
      </c>
      <c r="P159" s="798">
        <v>37.700000000000003</v>
      </c>
      <c r="Q159" s="798">
        <v>36.700000000000003</v>
      </c>
      <c r="R159" s="798">
        <v>58.9</v>
      </c>
      <c r="V159" s="145"/>
      <c r="AC159" s="145"/>
      <c r="AJ159" s="145"/>
      <c r="AQ159" s="145"/>
    </row>
    <row r="160" spans="1:43">
      <c r="A160" s="935">
        <v>42736</v>
      </c>
      <c r="B160" s="138">
        <v>50.620294117999997</v>
      </c>
      <c r="C160" s="138">
        <v>49.641666667000003</v>
      </c>
      <c r="D160" s="138">
        <v>48.252040815999997</v>
      </c>
      <c r="E160" s="138">
        <v>47.767600000000002</v>
      </c>
      <c r="F160" s="138">
        <v>70.990588235000004</v>
      </c>
      <c r="G160" s="145"/>
      <c r="H160" s="138">
        <v>42.828208955000001</v>
      </c>
      <c r="I160" s="138">
        <v>42.160128204999999</v>
      </c>
      <c r="J160" s="138">
        <v>41.001041667000003</v>
      </c>
      <c r="K160" s="138">
        <v>40.312399999999997</v>
      </c>
      <c r="L160" s="138">
        <v>62.656470587999998</v>
      </c>
      <c r="M160" s="145"/>
      <c r="N160" s="138">
        <v>38.867238806000003</v>
      </c>
      <c r="O160" s="138">
        <v>38.391346153999997</v>
      </c>
      <c r="P160" s="138">
        <v>37.226770833000003</v>
      </c>
      <c r="Q160" s="138">
        <v>36.555666666999997</v>
      </c>
      <c r="R160" s="138">
        <v>58.468235294000003</v>
      </c>
      <c r="S160" s="710"/>
      <c r="T160" s="710"/>
      <c r="U160" s="710"/>
      <c r="V160" s="710"/>
      <c r="W160" s="710"/>
      <c r="X160" s="710"/>
      <c r="Y160" s="710"/>
      <c r="Z160" s="710"/>
      <c r="AA160" s="710"/>
      <c r="AB160" s="710"/>
      <c r="AC160" s="710"/>
      <c r="AD160" s="710"/>
      <c r="AE160" s="710"/>
      <c r="AF160" s="710"/>
      <c r="AG160" s="710"/>
      <c r="AH160" s="710"/>
      <c r="AI160" s="710"/>
      <c r="AJ160" s="710"/>
      <c r="AK160" s="710"/>
      <c r="AL160" s="710"/>
      <c r="AM160" s="710"/>
      <c r="AN160" s="710"/>
      <c r="AO160" s="710"/>
      <c r="AP160" s="710"/>
    </row>
    <row r="161" spans="1:42">
      <c r="A161" s="934">
        <v>42767</v>
      </c>
      <c r="B161" s="798">
        <v>51.562153846000001</v>
      </c>
      <c r="C161" s="798">
        <v>48.771518987</v>
      </c>
      <c r="D161" s="798">
        <v>47.193061223999997</v>
      </c>
      <c r="E161" s="798">
        <v>46.792894736999997</v>
      </c>
      <c r="F161" s="798">
        <v>70.832264151000004</v>
      </c>
      <c r="G161" s="145"/>
      <c r="H161" s="798">
        <v>43.326349206000003</v>
      </c>
      <c r="I161" s="798">
        <v>41.208860758999997</v>
      </c>
      <c r="J161" s="798">
        <v>39.92</v>
      </c>
      <c r="K161" s="798">
        <v>39.253026316000003</v>
      </c>
      <c r="L161" s="798">
        <v>62.373396225999997</v>
      </c>
      <c r="M161" s="145"/>
      <c r="N161" s="798">
        <v>39.113888889000002</v>
      </c>
      <c r="O161" s="798">
        <v>37.399873417999999</v>
      </c>
      <c r="P161" s="798">
        <v>36.145729166999999</v>
      </c>
      <c r="Q161" s="798">
        <v>35.454342105000002</v>
      </c>
      <c r="R161" s="798">
        <v>58.123584905999998</v>
      </c>
      <c r="S161" s="710"/>
      <c r="T161" s="710"/>
      <c r="U161" s="710"/>
      <c r="V161" s="710"/>
      <c r="W161" s="710"/>
      <c r="X161" s="710"/>
      <c r="Y161" s="710"/>
      <c r="Z161" s="710"/>
      <c r="AA161" s="710"/>
      <c r="AB161" s="710"/>
      <c r="AC161" s="710"/>
      <c r="AD161" s="710"/>
      <c r="AE161" s="710"/>
      <c r="AF161" s="710"/>
      <c r="AG161" s="710"/>
      <c r="AH161" s="710"/>
      <c r="AI161" s="710"/>
      <c r="AJ161" s="710"/>
      <c r="AK161" s="710"/>
      <c r="AL161" s="710"/>
      <c r="AM161" s="710"/>
      <c r="AN161" s="710"/>
      <c r="AO161" s="710"/>
      <c r="AP161" s="710"/>
    </row>
    <row r="162" spans="1:42">
      <c r="A162" s="935">
        <v>42795</v>
      </c>
      <c r="B162" s="138">
        <v>49.232580644999999</v>
      </c>
      <c r="C162" s="138">
        <v>49.004868420999998</v>
      </c>
      <c r="D162" s="138">
        <v>47.362173912999999</v>
      </c>
      <c r="E162" s="138">
        <v>46.948108108</v>
      </c>
      <c r="F162" s="138">
        <v>70.856153845999998</v>
      </c>
      <c r="G162" s="145"/>
      <c r="H162" s="138">
        <v>41.025901638999997</v>
      </c>
      <c r="I162" s="138">
        <v>41.312631578999998</v>
      </c>
      <c r="J162" s="138">
        <v>39.925333332999998</v>
      </c>
      <c r="K162" s="138">
        <v>39.232027027000001</v>
      </c>
      <c r="L162" s="138">
        <v>62.363846154000001</v>
      </c>
      <c r="M162" s="145"/>
      <c r="N162" s="138">
        <v>36.949508197</v>
      </c>
      <c r="O162" s="138">
        <v>37.461447368000002</v>
      </c>
      <c r="P162" s="138">
        <v>36.098111111000001</v>
      </c>
      <c r="Q162" s="138">
        <v>35.368783784000001</v>
      </c>
      <c r="R162" s="138">
        <v>58.096923077</v>
      </c>
      <c r="S162" s="710"/>
      <c r="T162" s="710"/>
      <c r="U162" s="710"/>
      <c r="V162" s="710"/>
      <c r="W162" s="710"/>
      <c r="X162" s="710"/>
      <c r="Y162" s="710"/>
      <c r="Z162" s="710"/>
      <c r="AA162" s="710"/>
      <c r="AB162" s="710"/>
      <c r="AC162" s="710"/>
      <c r="AD162" s="710"/>
      <c r="AE162" s="710"/>
      <c r="AF162" s="710"/>
      <c r="AG162" s="710"/>
      <c r="AH162" s="710"/>
      <c r="AI162" s="710"/>
      <c r="AJ162" s="710"/>
      <c r="AK162" s="710"/>
      <c r="AL162" s="710"/>
      <c r="AM162" s="710"/>
      <c r="AN162" s="710"/>
      <c r="AO162" s="710"/>
      <c r="AP162" s="710"/>
    </row>
    <row r="163" spans="1:42">
      <c r="A163" s="934">
        <v>42826</v>
      </c>
      <c r="B163" s="798">
        <v>47.533538462000003</v>
      </c>
      <c r="C163" s="798">
        <v>48.536666666999999</v>
      </c>
      <c r="D163" s="798">
        <v>47.427999999999997</v>
      </c>
      <c r="E163" s="798">
        <v>46.803378377999998</v>
      </c>
      <c r="F163" s="798">
        <v>70.293653845999998</v>
      </c>
      <c r="G163" s="145"/>
      <c r="H163" s="798">
        <v>39.428906249999997</v>
      </c>
      <c r="I163" s="798">
        <v>40.868918919000002</v>
      </c>
      <c r="J163" s="798">
        <v>39.691818181999999</v>
      </c>
      <c r="K163" s="798">
        <v>39.087297296999999</v>
      </c>
      <c r="L163" s="798">
        <v>61.782884615</v>
      </c>
      <c r="M163" s="145"/>
      <c r="N163" s="798">
        <v>35.293046875000002</v>
      </c>
      <c r="O163" s="798">
        <v>37.013378377999999</v>
      </c>
      <c r="P163" s="798">
        <v>35.859431817999997</v>
      </c>
      <c r="Q163" s="798">
        <v>35.224054054</v>
      </c>
      <c r="R163" s="798">
        <v>57.506730769000001</v>
      </c>
      <c r="S163" s="710"/>
      <c r="T163" s="710"/>
      <c r="U163" s="710"/>
      <c r="V163" s="710"/>
      <c r="W163" s="710"/>
      <c r="X163" s="710"/>
      <c r="Y163" s="710"/>
      <c r="Z163" s="710"/>
      <c r="AA163" s="710"/>
      <c r="AB163" s="710"/>
      <c r="AC163" s="710"/>
      <c r="AD163" s="710"/>
      <c r="AE163" s="710"/>
      <c r="AF163" s="710"/>
      <c r="AG163" s="710"/>
      <c r="AH163" s="710"/>
      <c r="AI163" s="710"/>
      <c r="AJ163" s="710"/>
      <c r="AK163" s="710"/>
      <c r="AL163" s="710"/>
      <c r="AM163" s="710"/>
      <c r="AN163" s="710"/>
      <c r="AO163" s="710"/>
      <c r="AP163" s="710"/>
    </row>
    <row r="164" spans="1:42">
      <c r="A164" s="935">
        <v>42856</v>
      </c>
      <c r="B164" s="138">
        <v>49.009516128999998</v>
      </c>
      <c r="C164" s="138">
        <v>48.308133333000001</v>
      </c>
      <c r="D164" s="138">
        <v>47.290222221999997</v>
      </c>
      <c r="E164" s="138">
        <v>46.652702703000003</v>
      </c>
      <c r="F164" s="138">
        <v>69.078679245000004</v>
      </c>
      <c r="G164" s="145"/>
      <c r="H164" s="138">
        <v>40.568852458999999</v>
      </c>
      <c r="I164" s="138">
        <v>40.637297297000003</v>
      </c>
      <c r="J164" s="138">
        <v>39.550909091000001</v>
      </c>
      <c r="K164" s="138">
        <v>38.936621621999997</v>
      </c>
      <c r="L164" s="138">
        <v>60.515660377000003</v>
      </c>
      <c r="M164" s="145"/>
      <c r="N164" s="138">
        <v>36.363524589999997</v>
      </c>
      <c r="O164" s="138">
        <v>36.781756756999997</v>
      </c>
      <c r="P164" s="138">
        <v>35.718522727</v>
      </c>
      <c r="Q164" s="138">
        <v>35.073378378000001</v>
      </c>
      <c r="R164" s="138">
        <v>56.213773584999998</v>
      </c>
      <c r="S164" s="710"/>
      <c r="T164" s="710"/>
      <c r="U164" s="710"/>
      <c r="V164" s="710"/>
      <c r="W164" s="710"/>
      <c r="X164" s="710"/>
      <c r="Y164" s="710"/>
      <c r="Z164" s="710"/>
      <c r="AA164" s="710"/>
      <c r="AB164" s="710"/>
      <c r="AC164" s="710"/>
      <c r="AD164" s="710"/>
      <c r="AE164" s="710"/>
      <c r="AF164" s="710"/>
      <c r="AG164" s="710"/>
      <c r="AH164" s="710"/>
      <c r="AI164" s="710"/>
      <c r="AJ164" s="710"/>
      <c r="AK164" s="710"/>
      <c r="AL164" s="710"/>
      <c r="AM164" s="710"/>
      <c r="AN164" s="710"/>
      <c r="AO164" s="710"/>
      <c r="AP164" s="710"/>
    </row>
    <row r="165" spans="1:42">
      <c r="A165" s="934">
        <v>42887</v>
      </c>
      <c r="B165" s="798">
        <v>46.550149253999997</v>
      </c>
      <c r="C165" s="798">
        <v>48.990266667</v>
      </c>
      <c r="D165" s="798">
        <v>47.680444444000003</v>
      </c>
      <c r="E165" s="798">
        <v>47.094054053999997</v>
      </c>
      <c r="F165" s="798">
        <v>69.601960783999999</v>
      </c>
      <c r="G165" s="145"/>
      <c r="H165" s="798">
        <v>38.107727273000002</v>
      </c>
      <c r="I165" s="798">
        <v>41.328648649000002</v>
      </c>
      <c r="J165" s="798">
        <v>39.950000000000003</v>
      </c>
      <c r="K165" s="798">
        <v>39.377972972999999</v>
      </c>
      <c r="L165" s="798">
        <v>61.112549020000003</v>
      </c>
      <c r="M165" s="145"/>
      <c r="N165" s="798">
        <v>33.846742423999999</v>
      </c>
      <c r="O165" s="798">
        <v>37.473108107999998</v>
      </c>
      <c r="P165" s="798">
        <v>36.117613636000002</v>
      </c>
      <c r="Q165" s="798">
        <v>35.514729729999999</v>
      </c>
      <c r="R165" s="798">
        <v>56.846666667000001</v>
      </c>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row>
    <row r="166" spans="1:42">
      <c r="A166" s="935">
        <v>42917</v>
      </c>
      <c r="B166" s="138">
        <v>49.147857143000003</v>
      </c>
      <c r="C166" s="138">
        <v>49.868289474000001</v>
      </c>
      <c r="D166" s="138">
        <v>48.226521738999999</v>
      </c>
      <c r="E166" s="138">
        <v>47.427162162000002</v>
      </c>
      <c r="F166" s="138">
        <v>69.265490196000002</v>
      </c>
      <c r="G166" s="145"/>
      <c r="H166" s="138">
        <v>40.836714286000003</v>
      </c>
      <c r="I166" s="138">
        <v>42.217866667000003</v>
      </c>
      <c r="J166" s="138">
        <v>40.653333332999999</v>
      </c>
      <c r="K166" s="138">
        <v>39.879729730000001</v>
      </c>
      <c r="L166" s="138">
        <v>60.776078431000002</v>
      </c>
      <c r="M166" s="145"/>
      <c r="N166" s="138">
        <v>36.557785713999998</v>
      </c>
      <c r="O166" s="138">
        <v>38.376933332999997</v>
      </c>
      <c r="P166" s="138">
        <v>36.916777777999997</v>
      </c>
      <c r="Q166" s="138">
        <v>36.115405404999997</v>
      </c>
      <c r="R166" s="138">
        <v>56.510196078</v>
      </c>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row>
    <row r="167" spans="1:42">
      <c r="B167" s="710"/>
      <c r="C167" s="710"/>
      <c r="D167" s="710"/>
      <c r="E167" s="710"/>
      <c r="F167" s="710"/>
      <c r="G167" s="710"/>
      <c r="H167" s="710"/>
      <c r="I167" s="710"/>
      <c r="J167" s="710"/>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row>
    <row r="168" spans="1:42">
      <c r="A168" s="711" t="s">
        <v>27</v>
      </c>
      <c r="B168" s="710"/>
      <c r="C168" s="710"/>
      <c r="D168" s="710"/>
      <c r="E168" s="710"/>
      <c r="F168" s="710"/>
      <c r="G168" s="710"/>
      <c r="H168" s="710"/>
      <c r="I168" s="710"/>
      <c r="J168" s="710"/>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row>
    <row r="169" spans="1:42">
      <c r="A169" s="711" t="s">
        <v>482</v>
      </c>
      <c r="B169" s="710"/>
      <c r="C169" s="710"/>
      <c r="D169" s="710"/>
      <c r="E169" s="710"/>
      <c r="F169" s="710"/>
      <c r="G169" s="710"/>
      <c r="H169" s="710"/>
      <c r="I169" s="710"/>
      <c r="J169" s="710"/>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row>
    <row r="170" spans="1:42">
      <c r="A170" s="711" t="s">
        <v>530</v>
      </c>
      <c r="B170" s="710"/>
      <c r="C170" s="710"/>
      <c r="D170" s="710"/>
      <c r="E170" s="710"/>
      <c r="F170" s="710"/>
      <c r="G170" s="710"/>
      <c r="H170" s="710"/>
      <c r="I170" s="710"/>
      <c r="J170" s="710"/>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row>
    <row r="171" spans="1:42">
      <c r="A171" s="799" t="s">
        <v>502</v>
      </c>
      <c r="B171" s="710"/>
      <c r="C171" s="710"/>
      <c r="D171" s="710"/>
      <c r="E171" s="710"/>
      <c r="F171" s="710"/>
      <c r="G171" s="710"/>
      <c r="H171" s="710"/>
      <c r="I171" s="710"/>
      <c r="J171" s="710"/>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row>
    <row r="172" spans="1:42">
      <c r="B172" s="710"/>
      <c r="C172" s="710"/>
      <c r="D172" s="710"/>
      <c r="E172" s="710"/>
      <c r="F172" s="710"/>
      <c r="G172" s="710"/>
      <c r="H172" s="710"/>
      <c r="I172" s="710"/>
      <c r="J172" s="710"/>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row>
    <row r="173" spans="1:42">
      <c r="B173" s="710"/>
      <c r="C173" s="710"/>
      <c r="D173" s="710"/>
      <c r="E173" s="710"/>
      <c r="F173" s="710"/>
      <c r="G173" s="710"/>
      <c r="H173" s="710"/>
      <c r="I173" s="710"/>
      <c r="J173" s="710"/>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row>
    <row r="174" spans="1:42">
      <c r="B174" s="710"/>
      <c r="C174" s="710"/>
      <c r="D174" s="710"/>
      <c r="E174" s="710"/>
      <c r="F174" s="710"/>
      <c r="G174" s="710"/>
      <c r="H174" s="710"/>
      <c r="I174" s="710"/>
      <c r="J174" s="710"/>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row>
    <row r="175" spans="1:42">
      <c r="B175" s="710"/>
      <c r="C175" s="710"/>
      <c r="D175" s="710"/>
      <c r="E175" s="710"/>
      <c r="F175" s="710"/>
      <c r="G175" s="710"/>
      <c r="H175" s="710"/>
      <c r="I175" s="710"/>
      <c r="J175" s="710"/>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row>
    <row r="176" spans="1:42">
      <c r="B176" s="710"/>
      <c r="C176" s="710"/>
      <c r="D176" s="710"/>
      <c r="E176" s="710"/>
      <c r="F176" s="710"/>
      <c r="G176" s="710"/>
      <c r="H176" s="710"/>
      <c r="I176" s="710"/>
      <c r="J176" s="710"/>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row>
    <row r="177" spans="2:42">
      <c r="B177" s="710"/>
      <c r="C177" s="710"/>
      <c r="D177" s="710"/>
      <c r="E177" s="710"/>
      <c r="F177" s="710"/>
      <c r="G177" s="710"/>
      <c r="H177" s="710"/>
      <c r="I177" s="710"/>
      <c r="J177" s="710"/>
      <c r="K177" s="710"/>
      <c r="L177" s="710"/>
      <c r="M177" s="710"/>
      <c r="N177" s="710"/>
      <c r="O177" s="710"/>
      <c r="P177" s="710"/>
      <c r="Q177" s="710"/>
      <c r="R177" s="710"/>
      <c r="S177" s="710"/>
      <c r="T177" s="710"/>
      <c r="U177" s="710"/>
      <c r="V177" s="710"/>
      <c r="W177" s="710"/>
      <c r="X177" s="710"/>
      <c r="Y177" s="710"/>
      <c r="Z177" s="710"/>
      <c r="AA177" s="710"/>
      <c r="AB177" s="710"/>
      <c r="AC177" s="710"/>
      <c r="AD177" s="710"/>
      <c r="AE177" s="710"/>
      <c r="AF177" s="710"/>
      <c r="AG177" s="710"/>
      <c r="AH177" s="710"/>
      <c r="AI177" s="710"/>
      <c r="AJ177" s="710"/>
      <c r="AK177" s="710"/>
      <c r="AL177" s="710"/>
      <c r="AM177" s="710"/>
      <c r="AN177" s="710"/>
      <c r="AO177" s="710"/>
      <c r="AP177" s="710"/>
    </row>
    <row r="178" spans="2:42">
      <c r="B178" s="710"/>
      <c r="C178" s="710"/>
      <c r="D178" s="710"/>
      <c r="E178" s="710"/>
      <c r="F178" s="710"/>
      <c r="G178" s="710"/>
      <c r="H178" s="710"/>
      <c r="I178" s="710"/>
      <c r="J178" s="710"/>
      <c r="K178" s="710"/>
      <c r="L178" s="710"/>
      <c r="M178" s="710"/>
      <c r="N178" s="710"/>
      <c r="O178" s="710"/>
      <c r="P178" s="710"/>
      <c r="Q178" s="710"/>
      <c r="R178" s="710"/>
      <c r="S178" s="710"/>
      <c r="T178" s="710"/>
      <c r="U178" s="710"/>
      <c r="V178" s="710"/>
      <c r="W178" s="710"/>
      <c r="X178" s="710"/>
      <c r="Y178" s="710"/>
      <c r="Z178" s="710"/>
      <c r="AA178" s="710"/>
      <c r="AB178" s="710"/>
      <c r="AC178" s="710"/>
      <c r="AD178" s="710"/>
      <c r="AE178" s="710"/>
      <c r="AF178" s="710"/>
      <c r="AG178" s="710"/>
      <c r="AH178" s="710"/>
      <c r="AI178" s="710"/>
      <c r="AJ178" s="710"/>
      <c r="AK178" s="710"/>
      <c r="AL178" s="710"/>
      <c r="AM178" s="710"/>
      <c r="AN178" s="710"/>
      <c r="AO178" s="710"/>
      <c r="AP178" s="710"/>
    </row>
    <row r="179" spans="2:42">
      <c r="B179" s="710"/>
      <c r="C179" s="710"/>
      <c r="D179" s="710"/>
      <c r="E179" s="710"/>
      <c r="F179" s="710"/>
      <c r="G179" s="710"/>
      <c r="H179" s="710"/>
      <c r="I179" s="710"/>
      <c r="J179" s="710"/>
      <c r="K179" s="710"/>
      <c r="L179" s="710"/>
      <c r="M179" s="710"/>
      <c r="N179" s="710"/>
      <c r="O179" s="710"/>
      <c r="P179" s="710"/>
      <c r="Q179" s="710"/>
      <c r="R179" s="710"/>
      <c r="S179" s="710"/>
      <c r="T179" s="710"/>
      <c r="U179" s="710"/>
      <c r="V179" s="710"/>
      <c r="W179" s="710"/>
      <c r="X179" s="710"/>
      <c r="Y179" s="710"/>
      <c r="Z179" s="710"/>
      <c r="AA179" s="710"/>
      <c r="AB179" s="710"/>
      <c r="AC179" s="710"/>
      <c r="AD179" s="710"/>
      <c r="AE179" s="710"/>
      <c r="AF179" s="710"/>
      <c r="AG179" s="710"/>
      <c r="AH179" s="710"/>
      <c r="AI179" s="710"/>
      <c r="AJ179" s="710"/>
      <c r="AK179" s="710"/>
      <c r="AL179" s="710"/>
      <c r="AM179" s="710"/>
      <c r="AN179" s="710"/>
      <c r="AO179" s="710"/>
      <c r="AP179" s="710"/>
    </row>
    <row r="180" spans="2:42">
      <c r="B180" s="710"/>
      <c r="C180" s="710"/>
      <c r="D180" s="710"/>
      <c r="E180" s="710"/>
      <c r="F180" s="710"/>
      <c r="G180" s="710"/>
      <c r="H180" s="710"/>
      <c r="I180" s="710"/>
      <c r="J180" s="710"/>
      <c r="K180" s="710"/>
      <c r="L180" s="710"/>
      <c r="M180" s="710"/>
      <c r="N180" s="710"/>
      <c r="O180" s="710"/>
      <c r="P180" s="710"/>
      <c r="Q180" s="710"/>
      <c r="R180" s="710"/>
      <c r="S180" s="710"/>
      <c r="T180" s="710"/>
      <c r="U180" s="710"/>
      <c r="V180" s="710"/>
      <c r="W180" s="710"/>
      <c r="X180" s="710"/>
      <c r="Y180" s="710"/>
      <c r="Z180" s="710"/>
      <c r="AA180" s="710"/>
      <c r="AB180" s="710"/>
      <c r="AC180" s="710"/>
      <c r="AD180" s="710"/>
      <c r="AE180" s="710"/>
      <c r="AF180" s="710"/>
      <c r="AG180" s="710"/>
      <c r="AH180" s="710"/>
      <c r="AI180" s="710"/>
      <c r="AJ180" s="710"/>
      <c r="AK180" s="710"/>
      <c r="AL180" s="710"/>
      <c r="AM180" s="710"/>
      <c r="AN180" s="710"/>
      <c r="AO180" s="710"/>
      <c r="AP180" s="710"/>
    </row>
    <row r="181" spans="2:42">
      <c r="B181" s="710"/>
      <c r="C181" s="710"/>
      <c r="D181" s="710"/>
      <c r="E181" s="710"/>
      <c r="F181" s="710"/>
      <c r="G181" s="710"/>
      <c r="H181" s="710"/>
      <c r="I181" s="710"/>
      <c r="J181" s="710"/>
      <c r="K181" s="710"/>
      <c r="L181" s="710"/>
      <c r="M181" s="710"/>
      <c r="N181" s="710"/>
      <c r="O181" s="710"/>
      <c r="P181" s="710"/>
      <c r="Q181" s="710"/>
      <c r="R181" s="710"/>
      <c r="S181" s="710"/>
      <c r="T181" s="710"/>
      <c r="U181" s="710"/>
      <c r="V181" s="710"/>
      <c r="W181" s="710"/>
      <c r="X181" s="710"/>
      <c r="Y181" s="710"/>
      <c r="Z181" s="710"/>
      <c r="AA181" s="710"/>
      <c r="AB181" s="710"/>
      <c r="AC181" s="710"/>
      <c r="AD181" s="710"/>
      <c r="AE181" s="710"/>
      <c r="AF181" s="710"/>
      <c r="AG181" s="710"/>
      <c r="AH181" s="710"/>
      <c r="AI181" s="710"/>
      <c r="AJ181" s="710"/>
      <c r="AK181" s="710"/>
      <c r="AL181" s="710"/>
      <c r="AM181" s="710"/>
      <c r="AN181" s="710"/>
      <c r="AO181" s="710"/>
      <c r="AP181" s="710"/>
    </row>
    <row r="182" spans="2:42">
      <c r="B182" s="710"/>
      <c r="C182" s="710"/>
      <c r="D182" s="710"/>
      <c r="E182" s="710"/>
      <c r="F182" s="710"/>
      <c r="G182" s="710"/>
      <c r="H182" s="710"/>
      <c r="I182" s="710"/>
      <c r="J182" s="710"/>
      <c r="K182" s="710"/>
      <c r="L182" s="710"/>
      <c r="M182" s="710"/>
      <c r="N182" s="710"/>
      <c r="O182" s="710"/>
      <c r="P182" s="710"/>
      <c r="Q182" s="710"/>
      <c r="R182" s="710"/>
      <c r="S182" s="710"/>
      <c r="T182" s="710"/>
      <c r="U182" s="710"/>
      <c r="V182" s="710"/>
      <c r="W182" s="710"/>
      <c r="X182" s="710"/>
      <c r="Y182" s="710"/>
      <c r="Z182" s="710"/>
      <c r="AA182" s="710"/>
      <c r="AB182" s="710"/>
      <c r="AC182" s="710"/>
      <c r="AD182" s="710"/>
      <c r="AE182" s="710"/>
      <c r="AF182" s="710"/>
      <c r="AG182" s="710"/>
      <c r="AH182" s="710"/>
      <c r="AI182" s="710"/>
      <c r="AJ182" s="710"/>
      <c r="AK182" s="710"/>
      <c r="AL182" s="710"/>
      <c r="AM182" s="710"/>
      <c r="AN182" s="710"/>
      <c r="AO182" s="710"/>
      <c r="AP182" s="710"/>
    </row>
    <row r="183" spans="2:42">
      <c r="B183" s="710"/>
      <c r="C183" s="710"/>
      <c r="D183" s="710"/>
      <c r="E183" s="710"/>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710"/>
      <c r="AE183" s="710"/>
      <c r="AF183" s="710"/>
      <c r="AG183" s="710"/>
      <c r="AH183" s="710"/>
      <c r="AI183" s="710"/>
      <c r="AJ183" s="710"/>
      <c r="AK183" s="710"/>
      <c r="AL183" s="710"/>
      <c r="AM183" s="710"/>
      <c r="AN183" s="710"/>
      <c r="AO183" s="710"/>
      <c r="AP183" s="710"/>
    </row>
    <row r="184" spans="2:42">
      <c r="B184" s="710"/>
      <c r="C184" s="710"/>
      <c r="D184" s="710"/>
      <c r="E184" s="710"/>
      <c r="F184" s="710"/>
      <c r="G184" s="710"/>
      <c r="H184" s="710"/>
      <c r="I184" s="710"/>
      <c r="J184" s="710"/>
      <c r="K184" s="710"/>
      <c r="L184" s="710"/>
      <c r="M184" s="710"/>
      <c r="N184" s="710"/>
      <c r="O184" s="710"/>
      <c r="P184" s="710"/>
      <c r="Q184" s="710"/>
      <c r="R184" s="710"/>
      <c r="S184" s="710"/>
      <c r="T184" s="710"/>
      <c r="U184" s="710"/>
      <c r="V184" s="710"/>
      <c r="W184" s="710"/>
      <c r="X184" s="710"/>
      <c r="Y184" s="710"/>
      <c r="Z184" s="710"/>
      <c r="AA184" s="710"/>
      <c r="AB184" s="710"/>
      <c r="AC184" s="710"/>
      <c r="AD184" s="710"/>
      <c r="AE184" s="710"/>
      <c r="AF184" s="710"/>
      <c r="AG184" s="710"/>
      <c r="AH184" s="710"/>
      <c r="AI184" s="710"/>
      <c r="AJ184" s="710"/>
      <c r="AK184" s="710"/>
      <c r="AL184" s="710"/>
      <c r="AM184" s="710"/>
      <c r="AN184" s="710"/>
      <c r="AO184" s="710"/>
      <c r="AP184" s="710"/>
    </row>
    <row r="185" spans="2:42">
      <c r="B185" s="710"/>
      <c r="C185" s="710"/>
      <c r="D185" s="710"/>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710"/>
      <c r="AE185" s="710"/>
      <c r="AF185" s="710"/>
      <c r="AG185" s="710"/>
      <c r="AH185" s="710"/>
      <c r="AI185" s="710"/>
      <c r="AJ185" s="710"/>
      <c r="AK185" s="710"/>
      <c r="AL185" s="710"/>
      <c r="AM185" s="710"/>
      <c r="AN185" s="710"/>
      <c r="AO185" s="710"/>
      <c r="AP185" s="710"/>
    </row>
    <row r="186" spans="2:42">
      <c r="B186" s="710"/>
      <c r="C186" s="710"/>
      <c r="D186" s="710"/>
      <c r="E186" s="710"/>
      <c r="F186" s="710"/>
      <c r="G186" s="710"/>
      <c r="H186" s="710"/>
      <c r="I186" s="710"/>
      <c r="J186" s="710"/>
      <c r="K186" s="710"/>
      <c r="L186" s="710"/>
      <c r="M186" s="710"/>
      <c r="N186" s="710"/>
      <c r="O186" s="710"/>
      <c r="P186" s="710"/>
      <c r="Q186" s="710"/>
      <c r="R186" s="710"/>
      <c r="S186" s="710"/>
      <c r="T186" s="710"/>
      <c r="U186" s="710"/>
      <c r="V186" s="710"/>
      <c r="W186" s="710"/>
      <c r="X186" s="710"/>
      <c r="Y186" s="710"/>
      <c r="Z186" s="710"/>
      <c r="AA186" s="710"/>
      <c r="AB186" s="710"/>
      <c r="AC186" s="710"/>
      <c r="AD186" s="710"/>
      <c r="AE186" s="710"/>
      <c r="AF186" s="710"/>
      <c r="AG186" s="710"/>
      <c r="AH186" s="710"/>
      <c r="AI186" s="710"/>
      <c r="AJ186" s="710"/>
      <c r="AK186" s="710"/>
      <c r="AL186" s="710"/>
      <c r="AM186" s="710"/>
      <c r="AN186" s="710"/>
      <c r="AO186" s="710"/>
      <c r="AP186" s="710"/>
    </row>
    <row r="187" spans="2:42">
      <c r="B187" s="710"/>
      <c r="C187" s="710"/>
      <c r="D187" s="710"/>
      <c r="E187" s="710"/>
      <c r="F187" s="710"/>
      <c r="G187" s="710"/>
      <c r="H187" s="710"/>
      <c r="I187" s="710"/>
      <c r="J187" s="710"/>
      <c r="K187" s="710"/>
      <c r="L187" s="710"/>
      <c r="M187" s="710"/>
      <c r="N187" s="710"/>
      <c r="O187" s="710"/>
      <c r="P187" s="710"/>
      <c r="Q187" s="710"/>
      <c r="R187" s="710"/>
      <c r="S187" s="710"/>
      <c r="T187" s="710"/>
      <c r="U187" s="710"/>
      <c r="V187" s="710"/>
      <c r="W187" s="710"/>
      <c r="X187" s="710"/>
      <c r="Y187" s="710"/>
      <c r="Z187" s="710"/>
      <c r="AA187" s="710"/>
      <c r="AB187" s="710"/>
      <c r="AC187" s="710"/>
      <c r="AD187" s="710"/>
      <c r="AE187" s="710"/>
      <c r="AF187" s="710"/>
      <c r="AG187" s="710"/>
      <c r="AH187" s="710"/>
      <c r="AI187" s="710"/>
      <c r="AJ187" s="710"/>
      <c r="AK187" s="710"/>
      <c r="AL187" s="710"/>
      <c r="AM187" s="710"/>
      <c r="AN187" s="710"/>
      <c r="AO187" s="710"/>
      <c r="AP187" s="710"/>
    </row>
    <row r="188" spans="2:42">
      <c r="B188" s="710"/>
      <c r="C188" s="710"/>
      <c r="D188" s="710"/>
      <c r="E188" s="710"/>
      <c r="F188" s="710"/>
      <c r="G188" s="710"/>
      <c r="H188" s="710"/>
      <c r="I188" s="710"/>
      <c r="J188" s="710"/>
      <c r="K188" s="710"/>
      <c r="L188" s="710"/>
      <c r="M188" s="710"/>
      <c r="N188" s="710"/>
      <c r="O188" s="710"/>
      <c r="P188" s="710"/>
      <c r="Q188" s="710"/>
      <c r="R188" s="710"/>
      <c r="S188" s="710"/>
      <c r="T188" s="710"/>
      <c r="U188" s="710"/>
      <c r="V188" s="710"/>
      <c r="W188" s="710"/>
      <c r="X188" s="710"/>
      <c r="Y188" s="710"/>
      <c r="Z188" s="710"/>
      <c r="AA188" s="710"/>
      <c r="AB188" s="710"/>
      <c r="AC188" s="710"/>
      <c r="AD188" s="710"/>
      <c r="AE188" s="710"/>
      <c r="AF188" s="710"/>
      <c r="AG188" s="710"/>
      <c r="AH188" s="710"/>
      <c r="AI188" s="710"/>
      <c r="AJ188" s="710"/>
      <c r="AK188" s="710"/>
      <c r="AL188" s="710"/>
      <c r="AM188" s="710"/>
      <c r="AN188" s="710"/>
      <c r="AO188" s="710"/>
      <c r="AP188" s="710"/>
    </row>
    <row r="189" spans="2:42">
      <c r="B189" s="710"/>
      <c r="C189" s="710"/>
      <c r="D189" s="710"/>
      <c r="E189" s="710"/>
      <c r="F189" s="710"/>
      <c r="G189" s="710"/>
      <c r="H189" s="710"/>
      <c r="I189" s="710"/>
      <c r="J189" s="710"/>
      <c r="K189" s="710"/>
      <c r="L189" s="710"/>
      <c r="M189" s="710"/>
      <c r="N189" s="710"/>
      <c r="O189" s="710"/>
      <c r="P189" s="710"/>
      <c r="Q189" s="710"/>
      <c r="R189" s="710"/>
      <c r="S189" s="710"/>
      <c r="T189" s="710"/>
      <c r="U189" s="710"/>
      <c r="V189" s="710"/>
      <c r="W189" s="710"/>
      <c r="X189" s="710"/>
      <c r="Y189" s="710"/>
      <c r="Z189" s="710"/>
      <c r="AA189" s="710"/>
      <c r="AB189" s="710"/>
      <c r="AC189" s="710"/>
      <c r="AD189" s="710"/>
      <c r="AE189" s="710"/>
      <c r="AF189" s="710"/>
      <c r="AG189" s="710"/>
      <c r="AH189" s="710"/>
      <c r="AI189" s="710"/>
      <c r="AJ189" s="710"/>
      <c r="AK189" s="710"/>
      <c r="AL189" s="710"/>
      <c r="AM189" s="710"/>
      <c r="AN189" s="710"/>
      <c r="AO189" s="710"/>
      <c r="AP189" s="710"/>
    </row>
    <row r="190" spans="2:42">
      <c r="B190" s="710"/>
      <c r="C190" s="710"/>
      <c r="D190" s="710"/>
      <c r="E190" s="710"/>
      <c r="F190" s="710"/>
      <c r="G190" s="710"/>
      <c r="H190" s="710"/>
      <c r="I190" s="710"/>
      <c r="J190" s="710"/>
      <c r="K190" s="710"/>
      <c r="L190" s="710"/>
      <c r="M190" s="710"/>
      <c r="N190" s="710"/>
      <c r="O190" s="710"/>
      <c r="P190" s="710"/>
      <c r="Q190" s="710"/>
      <c r="R190" s="710"/>
      <c r="S190" s="710"/>
      <c r="T190" s="710"/>
      <c r="U190" s="710"/>
      <c r="V190" s="710"/>
      <c r="W190" s="710"/>
      <c r="X190" s="710"/>
      <c r="Y190" s="710"/>
      <c r="Z190" s="710"/>
      <c r="AA190" s="710"/>
      <c r="AB190" s="710"/>
      <c r="AC190" s="710"/>
      <c r="AD190" s="710"/>
      <c r="AE190" s="710"/>
      <c r="AF190" s="710"/>
      <c r="AG190" s="710"/>
      <c r="AH190" s="710"/>
      <c r="AI190" s="710"/>
      <c r="AJ190" s="710"/>
      <c r="AK190" s="710"/>
      <c r="AL190" s="710"/>
      <c r="AM190" s="710"/>
      <c r="AN190" s="710"/>
      <c r="AO190" s="710"/>
      <c r="AP190" s="710"/>
    </row>
    <row r="191" spans="2:42">
      <c r="B191" s="710"/>
      <c r="C191" s="710"/>
      <c r="D191" s="710"/>
      <c r="E191" s="710"/>
      <c r="F191" s="710"/>
      <c r="G191" s="710"/>
      <c r="H191" s="710"/>
      <c r="I191" s="710"/>
      <c r="J191" s="710"/>
      <c r="K191" s="710"/>
      <c r="L191" s="710"/>
      <c r="M191" s="710"/>
      <c r="N191" s="710"/>
      <c r="O191" s="710"/>
      <c r="P191" s="710"/>
      <c r="Q191" s="710"/>
      <c r="R191" s="710"/>
      <c r="S191" s="710"/>
      <c r="T191" s="710"/>
      <c r="U191" s="710"/>
      <c r="V191" s="710"/>
      <c r="W191" s="710"/>
      <c r="X191" s="710"/>
      <c r="Y191" s="710"/>
      <c r="Z191" s="710"/>
      <c r="AA191" s="710"/>
      <c r="AB191" s="710"/>
      <c r="AC191" s="710"/>
      <c r="AD191" s="710"/>
      <c r="AE191" s="710"/>
      <c r="AF191" s="710"/>
      <c r="AG191" s="710"/>
      <c r="AH191" s="710"/>
      <c r="AI191" s="710"/>
      <c r="AJ191" s="710"/>
      <c r="AK191" s="710"/>
      <c r="AL191" s="710"/>
      <c r="AM191" s="710"/>
      <c r="AN191" s="710"/>
      <c r="AO191" s="710"/>
      <c r="AP191" s="710"/>
    </row>
    <row r="192" spans="2:42">
      <c r="B192" s="710"/>
      <c r="C192" s="710"/>
      <c r="D192" s="710"/>
      <c r="E192" s="710"/>
      <c r="F192" s="710"/>
      <c r="G192" s="710"/>
      <c r="H192" s="710"/>
      <c r="I192" s="710"/>
      <c r="J192" s="710"/>
      <c r="K192" s="710"/>
      <c r="L192" s="710"/>
      <c r="M192" s="710"/>
      <c r="N192" s="710"/>
      <c r="O192" s="710"/>
      <c r="P192" s="710"/>
      <c r="Q192" s="710"/>
      <c r="R192" s="710"/>
      <c r="S192" s="710"/>
      <c r="T192" s="710"/>
      <c r="U192" s="710"/>
      <c r="V192" s="710"/>
      <c r="W192" s="710"/>
      <c r="X192" s="710"/>
      <c r="Y192" s="710"/>
      <c r="Z192" s="710"/>
      <c r="AA192" s="710"/>
      <c r="AB192" s="710"/>
      <c r="AC192" s="710"/>
      <c r="AD192" s="710"/>
      <c r="AE192" s="710"/>
      <c r="AF192" s="710"/>
      <c r="AG192" s="710"/>
      <c r="AH192" s="710"/>
      <c r="AI192" s="710"/>
      <c r="AJ192" s="710"/>
      <c r="AK192" s="710"/>
      <c r="AL192" s="710"/>
      <c r="AM192" s="710"/>
      <c r="AN192" s="710"/>
      <c r="AO192" s="710"/>
      <c r="AP192" s="710"/>
    </row>
    <row r="193" spans="2:42">
      <c r="B193" s="710"/>
      <c r="C193" s="710"/>
      <c r="D193" s="710"/>
      <c r="E193" s="710"/>
      <c r="F193" s="710"/>
      <c r="G193" s="710"/>
      <c r="H193" s="710"/>
      <c r="I193" s="710"/>
      <c r="J193" s="710"/>
      <c r="K193" s="710"/>
      <c r="L193" s="710"/>
      <c r="M193" s="710"/>
      <c r="N193" s="710"/>
      <c r="O193" s="710"/>
      <c r="P193" s="710"/>
      <c r="Q193" s="710"/>
      <c r="R193" s="710"/>
      <c r="S193" s="710"/>
      <c r="T193" s="710"/>
      <c r="U193" s="710"/>
      <c r="V193" s="710"/>
      <c r="W193" s="710"/>
      <c r="X193" s="710"/>
      <c r="Y193" s="710"/>
      <c r="Z193" s="710"/>
      <c r="AA193" s="710"/>
      <c r="AB193" s="710"/>
      <c r="AC193" s="710"/>
      <c r="AD193" s="710"/>
      <c r="AE193" s="710"/>
      <c r="AF193" s="710"/>
      <c r="AG193" s="710"/>
      <c r="AH193" s="710"/>
      <c r="AI193" s="710"/>
      <c r="AJ193" s="710"/>
      <c r="AK193" s="710"/>
      <c r="AL193" s="710"/>
      <c r="AM193" s="710"/>
      <c r="AN193" s="710"/>
      <c r="AO193" s="710"/>
      <c r="AP193" s="710"/>
    </row>
    <row r="194" spans="2:42">
      <c r="B194" s="710"/>
      <c r="C194" s="710"/>
      <c r="D194" s="710"/>
      <c r="E194" s="710"/>
      <c r="F194" s="710"/>
      <c r="G194" s="710"/>
      <c r="H194" s="710"/>
      <c r="I194" s="710"/>
      <c r="J194" s="710"/>
      <c r="K194" s="710"/>
      <c r="L194" s="710"/>
      <c r="M194" s="710"/>
      <c r="N194" s="710"/>
      <c r="O194" s="710"/>
      <c r="P194" s="710"/>
      <c r="Q194" s="710"/>
      <c r="R194" s="710"/>
      <c r="S194" s="710"/>
      <c r="T194" s="710"/>
      <c r="U194" s="710"/>
      <c r="V194" s="710"/>
      <c r="W194" s="710"/>
      <c r="X194" s="710"/>
      <c r="Y194" s="710"/>
      <c r="Z194" s="710"/>
      <c r="AA194" s="710"/>
      <c r="AB194" s="710"/>
      <c r="AC194" s="710"/>
      <c r="AD194" s="710"/>
      <c r="AE194" s="710"/>
      <c r="AF194" s="710"/>
      <c r="AG194" s="710"/>
      <c r="AH194" s="710"/>
      <c r="AI194" s="710"/>
      <c r="AJ194" s="710"/>
      <c r="AK194" s="710"/>
      <c r="AL194" s="710"/>
      <c r="AM194" s="710"/>
      <c r="AN194" s="710"/>
      <c r="AO194" s="710"/>
      <c r="AP194" s="710"/>
    </row>
    <row r="195" spans="2:42">
      <c r="B195" s="710"/>
      <c r="C195" s="710"/>
      <c r="D195" s="710"/>
      <c r="E195" s="710"/>
      <c r="F195" s="710"/>
      <c r="G195" s="710"/>
      <c r="H195" s="710"/>
      <c r="I195" s="710"/>
      <c r="J195" s="710"/>
      <c r="K195" s="710"/>
      <c r="L195" s="710"/>
      <c r="M195" s="710"/>
      <c r="N195" s="710"/>
      <c r="O195" s="710"/>
      <c r="P195" s="710"/>
      <c r="Q195" s="710"/>
      <c r="R195" s="710"/>
      <c r="S195" s="710"/>
      <c r="T195" s="710"/>
      <c r="U195" s="710"/>
      <c r="V195" s="710"/>
      <c r="W195" s="710"/>
      <c r="X195" s="710"/>
      <c r="Y195" s="710"/>
      <c r="Z195" s="710"/>
      <c r="AA195" s="710"/>
      <c r="AB195" s="710"/>
      <c r="AC195" s="710"/>
      <c r="AD195" s="710"/>
      <c r="AE195" s="710"/>
      <c r="AF195" s="710"/>
      <c r="AG195" s="710"/>
      <c r="AH195" s="710"/>
      <c r="AI195" s="710"/>
      <c r="AJ195" s="710"/>
      <c r="AK195" s="710"/>
      <c r="AL195" s="710"/>
      <c r="AM195" s="710"/>
      <c r="AN195" s="710"/>
      <c r="AO195" s="710"/>
      <c r="AP195" s="710"/>
    </row>
    <row r="196" spans="2:42">
      <c r="B196" s="710"/>
      <c r="C196" s="710"/>
      <c r="D196" s="710"/>
      <c r="E196" s="710"/>
      <c r="F196" s="710"/>
      <c r="G196" s="710"/>
      <c r="H196" s="710"/>
      <c r="I196" s="710"/>
      <c r="J196" s="710"/>
      <c r="K196" s="710"/>
      <c r="L196" s="710"/>
      <c r="M196" s="710"/>
      <c r="N196" s="710"/>
      <c r="O196" s="710"/>
      <c r="P196" s="710"/>
      <c r="Q196" s="710"/>
      <c r="R196" s="710"/>
      <c r="S196" s="710"/>
      <c r="T196" s="710"/>
      <c r="U196" s="710"/>
      <c r="V196" s="710"/>
      <c r="W196" s="710"/>
      <c r="X196" s="710"/>
      <c r="Y196" s="710"/>
      <c r="Z196" s="710"/>
      <c r="AA196" s="710"/>
      <c r="AB196" s="710"/>
      <c r="AC196" s="710"/>
      <c r="AD196" s="710"/>
      <c r="AE196" s="710"/>
      <c r="AF196" s="710"/>
      <c r="AG196" s="710"/>
      <c r="AH196" s="710"/>
      <c r="AI196" s="710"/>
      <c r="AJ196" s="710"/>
      <c r="AK196" s="710"/>
      <c r="AL196" s="710"/>
      <c r="AM196" s="710"/>
      <c r="AN196" s="710"/>
      <c r="AO196" s="710"/>
      <c r="AP196" s="710"/>
    </row>
    <row r="197" spans="2:42">
      <c r="B197" s="710"/>
      <c r="C197" s="710"/>
      <c r="D197" s="710"/>
      <c r="E197" s="710"/>
      <c r="F197" s="710"/>
      <c r="G197" s="710"/>
      <c r="H197" s="710"/>
      <c r="I197" s="710"/>
      <c r="J197" s="710"/>
      <c r="K197" s="710"/>
      <c r="L197" s="710"/>
      <c r="M197" s="710"/>
      <c r="N197" s="710"/>
      <c r="O197" s="710"/>
      <c r="P197" s="710"/>
      <c r="Q197" s="710"/>
      <c r="R197" s="710"/>
      <c r="S197" s="710"/>
      <c r="T197" s="710"/>
      <c r="U197" s="710"/>
      <c r="V197" s="710"/>
      <c r="W197" s="710"/>
      <c r="X197" s="710"/>
      <c r="Y197" s="710"/>
      <c r="Z197" s="710"/>
      <c r="AA197" s="710"/>
      <c r="AB197" s="710"/>
      <c r="AC197" s="710"/>
      <c r="AD197" s="710"/>
      <c r="AE197" s="710"/>
      <c r="AF197" s="710"/>
      <c r="AG197" s="710"/>
      <c r="AH197" s="710"/>
      <c r="AI197" s="710"/>
      <c r="AJ197" s="710"/>
      <c r="AK197" s="710"/>
      <c r="AL197" s="710"/>
      <c r="AM197" s="710"/>
      <c r="AN197" s="710"/>
      <c r="AO197" s="710"/>
      <c r="AP197" s="710"/>
    </row>
    <row r="198" spans="2:42">
      <c r="B198" s="710"/>
      <c r="C198" s="710"/>
      <c r="D198" s="710"/>
      <c r="E198" s="710"/>
      <c r="F198" s="710"/>
      <c r="G198" s="710"/>
      <c r="H198" s="710"/>
      <c r="I198" s="710"/>
      <c r="J198" s="710"/>
      <c r="K198" s="710"/>
      <c r="L198" s="710"/>
      <c r="M198" s="710"/>
      <c r="N198" s="710"/>
      <c r="O198" s="710"/>
      <c r="P198" s="710"/>
      <c r="Q198" s="710"/>
      <c r="R198" s="710"/>
      <c r="S198" s="710"/>
      <c r="T198" s="710"/>
      <c r="U198" s="710"/>
      <c r="V198" s="710"/>
      <c r="W198" s="710"/>
      <c r="X198" s="710"/>
      <c r="Y198" s="710"/>
      <c r="Z198" s="710"/>
      <c r="AA198" s="710"/>
      <c r="AB198" s="710"/>
      <c r="AC198" s="710"/>
      <c r="AD198" s="710"/>
      <c r="AE198" s="710"/>
      <c r="AF198" s="710"/>
      <c r="AG198" s="710"/>
      <c r="AH198" s="710"/>
      <c r="AI198" s="710"/>
      <c r="AJ198" s="710"/>
      <c r="AK198" s="710"/>
      <c r="AL198" s="710"/>
      <c r="AM198" s="710"/>
      <c r="AN198" s="710"/>
      <c r="AO198" s="710"/>
      <c r="AP198" s="710"/>
    </row>
    <row r="199" spans="2:42">
      <c r="B199" s="710"/>
      <c r="C199" s="710"/>
      <c r="D199" s="710"/>
      <c r="E199" s="710"/>
      <c r="F199" s="710"/>
      <c r="G199" s="710"/>
      <c r="H199" s="710"/>
      <c r="I199" s="710"/>
      <c r="J199" s="710"/>
      <c r="K199" s="710"/>
      <c r="L199" s="710"/>
      <c r="M199" s="710"/>
      <c r="N199" s="710"/>
      <c r="O199" s="710"/>
      <c r="P199" s="710"/>
      <c r="Q199" s="710"/>
      <c r="R199" s="710"/>
      <c r="S199" s="710"/>
      <c r="T199" s="710"/>
      <c r="U199" s="710"/>
      <c r="V199" s="710"/>
      <c r="W199" s="710"/>
      <c r="X199" s="710"/>
      <c r="Y199" s="710"/>
      <c r="Z199" s="710"/>
      <c r="AA199" s="710"/>
      <c r="AB199" s="710"/>
      <c r="AC199" s="710"/>
      <c r="AD199" s="710"/>
      <c r="AE199" s="710"/>
      <c r="AF199" s="710"/>
      <c r="AG199" s="710"/>
      <c r="AH199" s="710"/>
      <c r="AI199" s="710"/>
      <c r="AJ199" s="710"/>
      <c r="AK199" s="710"/>
      <c r="AL199" s="710"/>
      <c r="AM199" s="710"/>
      <c r="AN199" s="710"/>
      <c r="AO199" s="710"/>
      <c r="AP199" s="710"/>
    </row>
    <row r="200" spans="2:42">
      <c r="B200" s="710"/>
      <c r="C200" s="710"/>
      <c r="D200" s="710"/>
      <c r="E200" s="710"/>
      <c r="F200" s="710"/>
      <c r="G200" s="710"/>
      <c r="H200" s="710"/>
      <c r="I200" s="710"/>
      <c r="J200" s="710"/>
      <c r="K200" s="710"/>
      <c r="L200" s="710"/>
      <c r="M200" s="710"/>
      <c r="N200" s="710"/>
      <c r="O200" s="710"/>
      <c r="P200" s="710"/>
      <c r="Q200" s="710"/>
      <c r="R200" s="710"/>
      <c r="S200" s="710"/>
      <c r="T200" s="710"/>
      <c r="U200" s="710"/>
      <c r="V200" s="710"/>
      <c r="W200" s="710"/>
      <c r="X200" s="710"/>
      <c r="Y200" s="710"/>
      <c r="Z200" s="710"/>
      <c r="AA200" s="710"/>
      <c r="AB200" s="710"/>
      <c r="AC200" s="710"/>
      <c r="AD200" s="710"/>
      <c r="AE200" s="710"/>
      <c r="AF200" s="710"/>
      <c r="AG200" s="710"/>
      <c r="AH200" s="710"/>
      <c r="AI200" s="710"/>
      <c r="AJ200" s="710"/>
      <c r="AK200" s="710"/>
      <c r="AL200" s="710"/>
      <c r="AM200" s="710"/>
      <c r="AN200" s="710"/>
      <c r="AO200" s="710"/>
      <c r="AP200" s="710"/>
    </row>
    <row r="201" spans="2:42">
      <c r="B201" s="710"/>
      <c r="C201" s="710"/>
      <c r="D201" s="710"/>
      <c r="E201" s="710"/>
      <c r="F201" s="710"/>
      <c r="G201" s="710"/>
      <c r="H201" s="710"/>
      <c r="I201" s="710"/>
      <c r="J201" s="710"/>
      <c r="K201" s="710"/>
      <c r="L201" s="710"/>
      <c r="M201" s="710"/>
      <c r="N201" s="710"/>
      <c r="O201" s="710"/>
      <c r="P201" s="710"/>
      <c r="Q201" s="710"/>
      <c r="R201" s="710"/>
      <c r="S201" s="710"/>
      <c r="T201" s="710"/>
      <c r="U201" s="710"/>
      <c r="V201" s="710"/>
      <c r="W201" s="710"/>
      <c r="X201" s="710"/>
      <c r="Y201" s="710"/>
      <c r="Z201" s="710"/>
      <c r="AA201" s="710"/>
      <c r="AB201" s="710"/>
      <c r="AC201" s="710"/>
      <c r="AD201" s="710"/>
      <c r="AE201" s="710"/>
      <c r="AF201" s="710"/>
      <c r="AG201" s="710"/>
      <c r="AH201" s="710"/>
      <c r="AI201" s="710"/>
      <c r="AJ201" s="710"/>
      <c r="AK201" s="710"/>
      <c r="AL201" s="710"/>
      <c r="AM201" s="710"/>
      <c r="AN201" s="710"/>
      <c r="AO201" s="710"/>
      <c r="AP201" s="710"/>
    </row>
    <row r="202" spans="2:42">
      <c r="B202" s="710"/>
      <c r="C202" s="710"/>
      <c r="D202" s="710"/>
      <c r="E202" s="710"/>
      <c r="F202" s="710"/>
      <c r="G202" s="710"/>
      <c r="H202" s="710"/>
      <c r="I202" s="710"/>
      <c r="J202" s="710"/>
      <c r="K202" s="710"/>
      <c r="L202" s="710"/>
      <c r="M202" s="710"/>
      <c r="N202" s="710"/>
      <c r="O202" s="710"/>
      <c r="P202" s="710"/>
      <c r="Q202" s="710"/>
      <c r="R202" s="710"/>
      <c r="S202" s="710"/>
      <c r="T202" s="710"/>
      <c r="U202" s="710"/>
      <c r="V202" s="710"/>
      <c r="W202" s="710"/>
      <c r="X202" s="710"/>
      <c r="Y202" s="710"/>
      <c r="Z202" s="710"/>
      <c r="AA202" s="710"/>
      <c r="AB202" s="710"/>
      <c r="AC202" s="710"/>
      <c r="AD202" s="710"/>
      <c r="AE202" s="710"/>
      <c r="AF202" s="710"/>
      <c r="AG202" s="710"/>
      <c r="AH202" s="710"/>
      <c r="AI202" s="710"/>
      <c r="AJ202" s="710"/>
      <c r="AK202" s="710"/>
      <c r="AL202" s="710"/>
      <c r="AM202" s="710"/>
      <c r="AN202" s="710"/>
      <c r="AO202" s="710"/>
      <c r="AP202" s="710"/>
    </row>
    <row r="203" spans="2:42">
      <c r="B203" s="710"/>
      <c r="C203" s="710"/>
      <c r="D203" s="710"/>
      <c r="E203" s="710"/>
      <c r="F203" s="710"/>
      <c r="G203" s="710"/>
      <c r="H203" s="710"/>
      <c r="I203" s="710"/>
      <c r="J203" s="710"/>
      <c r="K203" s="710"/>
      <c r="L203" s="710"/>
      <c r="M203" s="710"/>
      <c r="N203" s="710"/>
      <c r="O203" s="710"/>
      <c r="P203" s="710"/>
      <c r="Q203" s="710"/>
      <c r="R203" s="710"/>
      <c r="S203" s="710"/>
      <c r="T203" s="710"/>
      <c r="U203" s="710"/>
      <c r="V203" s="710"/>
      <c r="W203" s="710"/>
      <c r="X203" s="710"/>
      <c r="Y203" s="710"/>
      <c r="Z203" s="710"/>
      <c r="AA203" s="710"/>
      <c r="AB203" s="710"/>
      <c r="AC203" s="710"/>
      <c r="AD203" s="710"/>
      <c r="AE203" s="710"/>
      <c r="AF203" s="710"/>
      <c r="AG203" s="710"/>
      <c r="AH203" s="710"/>
      <c r="AI203" s="710"/>
      <c r="AJ203" s="710"/>
      <c r="AK203" s="710"/>
      <c r="AL203" s="710"/>
      <c r="AM203" s="710"/>
      <c r="AN203" s="710"/>
      <c r="AO203" s="710"/>
      <c r="AP203" s="710"/>
    </row>
    <row r="204" spans="2:42">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row>
    <row r="205" spans="2:42">
      <c r="B205" s="710"/>
      <c r="C205" s="710"/>
      <c r="D205" s="710"/>
      <c r="E205" s="710"/>
      <c r="F205" s="710"/>
      <c r="G205" s="710"/>
      <c r="H205" s="710"/>
      <c r="I205" s="710"/>
      <c r="J205" s="710"/>
      <c r="K205" s="710"/>
      <c r="L205" s="710"/>
      <c r="M205" s="710"/>
      <c r="N205" s="710"/>
      <c r="O205" s="710"/>
      <c r="P205" s="710"/>
      <c r="Q205" s="710"/>
      <c r="R205" s="710"/>
      <c r="S205" s="710"/>
      <c r="T205" s="710"/>
      <c r="U205" s="710"/>
      <c r="V205" s="710"/>
      <c r="W205" s="710"/>
      <c r="X205" s="710"/>
      <c r="Y205" s="710"/>
      <c r="Z205" s="710"/>
      <c r="AA205" s="710"/>
      <c r="AB205" s="710"/>
      <c r="AC205" s="710"/>
      <c r="AD205" s="710"/>
      <c r="AE205" s="710"/>
      <c r="AF205" s="710"/>
      <c r="AG205" s="710"/>
      <c r="AH205" s="710"/>
      <c r="AI205" s="710"/>
      <c r="AJ205" s="710"/>
      <c r="AK205" s="710"/>
      <c r="AL205" s="710"/>
      <c r="AM205" s="710"/>
      <c r="AN205" s="710"/>
      <c r="AO205" s="710"/>
      <c r="AP205" s="710"/>
    </row>
    <row r="206" spans="2:42">
      <c r="B206" s="710"/>
      <c r="C206" s="710"/>
      <c r="D206" s="710"/>
      <c r="E206" s="710"/>
      <c r="F206" s="710"/>
      <c r="G206" s="710"/>
      <c r="H206" s="710"/>
      <c r="I206" s="710"/>
      <c r="J206" s="710"/>
      <c r="K206" s="710"/>
      <c r="L206" s="710"/>
      <c r="M206" s="710"/>
      <c r="N206" s="710"/>
      <c r="O206" s="710"/>
      <c r="P206" s="710"/>
      <c r="Q206" s="710"/>
      <c r="R206" s="710"/>
      <c r="S206" s="710"/>
      <c r="T206" s="710"/>
      <c r="U206" s="710"/>
      <c r="V206" s="710"/>
      <c r="W206" s="710"/>
      <c r="X206" s="710"/>
      <c r="Y206" s="710"/>
      <c r="Z206" s="710"/>
      <c r="AA206" s="710"/>
      <c r="AB206" s="710"/>
      <c r="AC206" s="710"/>
      <c r="AD206" s="710"/>
      <c r="AE206" s="710"/>
      <c r="AF206" s="710"/>
      <c r="AG206" s="710"/>
      <c r="AH206" s="710"/>
      <c r="AI206" s="710"/>
      <c r="AJ206" s="710"/>
      <c r="AK206" s="710"/>
      <c r="AL206" s="710"/>
      <c r="AM206" s="710"/>
      <c r="AN206" s="710"/>
      <c r="AO206" s="710"/>
      <c r="AP206" s="710"/>
    </row>
    <row r="207" spans="2:42">
      <c r="B207" s="710"/>
      <c r="C207" s="710"/>
      <c r="D207" s="710"/>
      <c r="E207" s="710"/>
      <c r="F207" s="710"/>
      <c r="G207" s="710"/>
      <c r="H207" s="710"/>
      <c r="I207" s="710"/>
      <c r="J207" s="710"/>
      <c r="K207" s="710"/>
      <c r="L207" s="710"/>
      <c r="M207" s="710"/>
      <c r="N207" s="710"/>
      <c r="O207" s="710"/>
      <c r="P207" s="710"/>
      <c r="Q207" s="710"/>
      <c r="R207" s="710"/>
      <c r="S207" s="710"/>
      <c r="T207" s="710"/>
      <c r="U207" s="710"/>
      <c r="V207" s="710"/>
      <c r="W207" s="710"/>
      <c r="X207" s="710"/>
      <c r="Y207" s="710"/>
      <c r="Z207" s="710"/>
      <c r="AA207" s="710"/>
      <c r="AB207" s="710"/>
      <c r="AC207" s="710"/>
      <c r="AD207" s="710"/>
      <c r="AE207" s="710"/>
      <c r="AF207" s="710"/>
      <c r="AG207" s="710"/>
      <c r="AH207" s="710"/>
      <c r="AI207" s="710"/>
      <c r="AJ207" s="710"/>
      <c r="AK207" s="710"/>
      <c r="AL207" s="710"/>
      <c r="AM207" s="710"/>
      <c r="AN207" s="710"/>
      <c r="AO207" s="710"/>
      <c r="AP207" s="710"/>
    </row>
    <row r="208" spans="2:42">
      <c r="B208" s="710"/>
      <c r="C208" s="710"/>
      <c r="D208" s="710"/>
      <c r="E208" s="710"/>
      <c r="F208" s="710"/>
      <c r="G208" s="710"/>
      <c r="H208" s="710"/>
      <c r="I208" s="710"/>
      <c r="J208" s="710"/>
      <c r="K208" s="710"/>
      <c r="L208" s="710"/>
      <c r="M208" s="710"/>
      <c r="N208" s="710"/>
      <c r="O208" s="710"/>
      <c r="P208" s="710"/>
      <c r="Q208" s="710"/>
      <c r="R208" s="710"/>
      <c r="S208" s="710"/>
      <c r="T208" s="710"/>
      <c r="U208" s="710"/>
      <c r="V208" s="710"/>
      <c r="W208" s="710"/>
      <c r="X208" s="710"/>
      <c r="Y208" s="710"/>
      <c r="Z208" s="710"/>
      <c r="AA208" s="710"/>
      <c r="AB208" s="710"/>
      <c r="AC208" s="710"/>
      <c r="AD208" s="710"/>
      <c r="AE208" s="710"/>
      <c r="AF208" s="710"/>
      <c r="AG208" s="710"/>
      <c r="AH208" s="710"/>
      <c r="AI208" s="710"/>
      <c r="AJ208" s="710"/>
      <c r="AK208" s="710"/>
      <c r="AL208" s="710"/>
      <c r="AM208" s="710"/>
      <c r="AN208" s="710"/>
      <c r="AO208" s="710"/>
      <c r="AP208" s="710"/>
    </row>
    <row r="209" spans="2:42">
      <c r="B209" s="710"/>
      <c r="C209" s="710"/>
      <c r="D209" s="710"/>
      <c r="E209" s="710"/>
      <c r="F209" s="710"/>
      <c r="G209" s="710"/>
      <c r="H209" s="710"/>
      <c r="I209" s="710"/>
      <c r="J209" s="710"/>
      <c r="K209" s="710"/>
      <c r="L209" s="710"/>
      <c r="M209" s="710"/>
      <c r="N209" s="710"/>
      <c r="O209" s="710"/>
      <c r="P209" s="710"/>
      <c r="Q209" s="710"/>
      <c r="R209" s="710"/>
      <c r="S209" s="710"/>
      <c r="T209" s="710"/>
      <c r="U209" s="710"/>
      <c r="V209" s="710"/>
      <c r="W209" s="710"/>
      <c r="X209" s="710"/>
      <c r="Y209" s="710"/>
      <c r="Z209" s="710"/>
      <c r="AA209" s="710"/>
      <c r="AB209" s="710"/>
      <c r="AC209" s="710"/>
      <c r="AD209" s="710"/>
      <c r="AE209" s="710"/>
      <c r="AF209" s="710"/>
      <c r="AG209" s="710"/>
      <c r="AH209" s="710"/>
      <c r="AI209" s="710"/>
      <c r="AJ209" s="710"/>
      <c r="AK209" s="710"/>
      <c r="AL209" s="710"/>
      <c r="AM209" s="710"/>
      <c r="AN209" s="710"/>
      <c r="AO209" s="710"/>
      <c r="AP209" s="710"/>
    </row>
    <row r="210" spans="2:42">
      <c r="B210" s="710"/>
      <c r="C210" s="710"/>
      <c r="D210" s="710"/>
      <c r="E210" s="710"/>
      <c r="F210" s="710"/>
      <c r="G210" s="710"/>
      <c r="H210" s="710"/>
      <c r="I210" s="710"/>
      <c r="J210" s="710"/>
      <c r="K210" s="710"/>
      <c r="L210" s="710"/>
      <c r="M210" s="710"/>
      <c r="N210" s="710"/>
      <c r="O210" s="710"/>
      <c r="P210" s="710"/>
      <c r="Q210" s="710"/>
      <c r="R210" s="710"/>
      <c r="S210" s="710"/>
      <c r="T210" s="710"/>
      <c r="U210" s="710"/>
      <c r="V210" s="710"/>
      <c r="W210" s="710"/>
      <c r="X210" s="710"/>
      <c r="Y210" s="710"/>
      <c r="Z210" s="710"/>
      <c r="AA210" s="710"/>
      <c r="AB210" s="710"/>
      <c r="AC210" s="710"/>
      <c r="AD210" s="710"/>
      <c r="AE210" s="710"/>
      <c r="AF210" s="710"/>
      <c r="AG210" s="710"/>
      <c r="AH210" s="710"/>
      <c r="AI210" s="710"/>
      <c r="AJ210" s="710"/>
      <c r="AK210" s="710"/>
      <c r="AL210" s="710"/>
      <c r="AM210" s="710"/>
      <c r="AN210" s="710"/>
      <c r="AO210" s="710"/>
      <c r="AP210" s="710"/>
    </row>
    <row r="211" spans="2:42">
      <c r="B211" s="710"/>
      <c r="C211" s="710"/>
      <c r="D211" s="710"/>
      <c r="E211" s="710"/>
      <c r="F211" s="710"/>
      <c r="G211" s="710"/>
      <c r="H211" s="710"/>
      <c r="I211" s="710"/>
      <c r="J211" s="710"/>
      <c r="K211" s="710"/>
      <c r="L211" s="710"/>
      <c r="M211" s="710"/>
      <c r="N211" s="710"/>
      <c r="O211" s="710"/>
      <c r="P211" s="710"/>
      <c r="Q211" s="710"/>
      <c r="R211" s="710"/>
      <c r="S211" s="710"/>
      <c r="T211" s="710"/>
      <c r="U211" s="710"/>
      <c r="V211" s="710"/>
      <c r="W211" s="710"/>
      <c r="X211" s="710"/>
      <c r="Y211" s="710"/>
      <c r="Z211" s="710"/>
      <c r="AA211" s="710"/>
      <c r="AB211" s="710"/>
      <c r="AC211" s="710"/>
      <c r="AD211" s="710"/>
      <c r="AE211" s="710"/>
      <c r="AF211" s="710"/>
      <c r="AG211" s="710"/>
      <c r="AH211" s="710"/>
      <c r="AI211" s="710"/>
      <c r="AJ211" s="710"/>
      <c r="AK211" s="710"/>
      <c r="AL211" s="710"/>
      <c r="AM211" s="710"/>
      <c r="AN211" s="710"/>
      <c r="AO211" s="710"/>
      <c r="AP211" s="710"/>
    </row>
    <row r="212" spans="2:42">
      <c r="B212" s="710"/>
      <c r="C212" s="710"/>
      <c r="D212" s="710"/>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A212" s="710"/>
      <c r="AB212" s="710"/>
      <c r="AC212" s="710"/>
      <c r="AD212" s="710"/>
      <c r="AE212" s="710"/>
      <c r="AF212" s="710"/>
      <c r="AG212" s="710"/>
      <c r="AH212" s="710"/>
      <c r="AI212" s="710"/>
      <c r="AJ212" s="710"/>
      <c r="AK212" s="710"/>
      <c r="AL212" s="710"/>
      <c r="AM212" s="710"/>
      <c r="AN212" s="710"/>
      <c r="AO212" s="710"/>
      <c r="AP212" s="710"/>
    </row>
    <row r="213" spans="2:42">
      <c r="B213" s="710"/>
      <c r="C213" s="710"/>
      <c r="D213" s="710"/>
      <c r="E213" s="710"/>
      <c r="F213" s="710"/>
      <c r="G213" s="710"/>
      <c r="H213" s="710"/>
      <c r="I213" s="710"/>
      <c r="J213" s="710"/>
      <c r="K213" s="710"/>
      <c r="L213" s="710"/>
      <c r="M213" s="710"/>
      <c r="N213" s="710"/>
      <c r="O213" s="710"/>
      <c r="P213" s="710"/>
      <c r="Q213" s="710"/>
      <c r="R213" s="710"/>
      <c r="S213" s="710"/>
      <c r="T213" s="710"/>
      <c r="U213" s="710"/>
      <c r="V213" s="710"/>
      <c r="W213" s="710"/>
      <c r="X213" s="710"/>
      <c r="Y213" s="710"/>
      <c r="Z213" s="710"/>
      <c r="AA213" s="710"/>
      <c r="AB213" s="710"/>
      <c r="AC213" s="710"/>
      <c r="AD213" s="710"/>
      <c r="AE213" s="710"/>
      <c r="AF213" s="710"/>
      <c r="AG213" s="710"/>
      <c r="AH213" s="710"/>
      <c r="AI213" s="710"/>
      <c r="AJ213" s="710"/>
      <c r="AK213" s="710"/>
      <c r="AL213" s="710"/>
      <c r="AM213" s="710"/>
      <c r="AN213" s="710"/>
      <c r="AO213" s="710"/>
      <c r="AP213" s="710"/>
    </row>
    <row r="214" spans="2:42">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row>
    <row r="215" spans="2:42">
      <c r="B215" s="710"/>
      <c r="C215" s="710"/>
      <c r="D215" s="710"/>
      <c r="E215" s="710"/>
      <c r="F215" s="710"/>
      <c r="G215" s="710"/>
      <c r="H215" s="710"/>
      <c r="I215" s="710"/>
      <c r="J215" s="710"/>
      <c r="K215" s="710"/>
      <c r="L215" s="710"/>
      <c r="M215" s="710"/>
      <c r="N215" s="710"/>
      <c r="O215" s="710"/>
      <c r="P215" s="710"/>
      <c r="Q215" s="710"/>
      <c r="R215" s="710"/>
      <c r="S215" s="710"/>
      <c r="T215" s="710"/>
      <c r="U215" s="710"/>
      <c r="V215" s="710"/>
      <c r="W215" s="710"/>
      <c r="X215" s="710"/>
      <c r="Y215" s="710"/>
      <c r="Z215" s="710"/>
      <c r="AA215" s="710"/>
      <c r="AB215" s="710"/>
      <c r="AC215" s="710"/>
      <c r="AD215" s="710"/>
      <c r="AE215" s="710"/>
      <c r="AF215" s="710"/>
      <c r="AG215" s="710"/>
      <c r="AH215" s="710"/>
      <c r="AI215" s="710"/>
      <c r="AJ215" s="710"/>
      <c r="AK215" s="710"/>
      <c r="AL215" s="710"/>
      <c r="AM215" s="710"/>
      <c r="AN215" s="710"/>
      <c r="AO215" s="710"/>
      <c r="AP215" s="710"/>
    </row>
    <row r="216" spans="2:42">
      <c r="B216" s="710"/>
      <c r="C216" s="710"/>
      <c r="D216" s="710"/>
      <c r="E216" s="710"/>
      <c r="F216" s="710"/>
      <c r="G216" s="710"/>
      <c r="H216" s="710"/>
      <c r="I216" s="710"/>
      <c r="J216" s="710"/>
      <c r="K216" s="710"/>
      <c r="L216" s="710"/>
      <c r="M216" s="710"/>
      <c r="N216" s="710"/>
      <c r="O216" s="710"/>
      <c r="P216" s="710"/>
      <c r="Q216" s="710"/>
      <c r="R216" s="710"/>
      <c r="S216" s="710"/>
      <c r="T216" s="710"/>
      <c r="U216" s="710"/>
      <c r="V216" s="710"/>
      <c r="W216" s="710"/>
      <c r="X216" s="710"/>
      <c r="Y216" s="710"/>
      <c r="Z216" s="710"/>
      <c r="AA216" s="710"/>
      <c r="AB216" s="710"/>
      <c r="AC216" s="710"/>
      <c r="AD216" s="710"/>
      <c r="AE216" s="710"/>
      <c r="AF216" s="710"/>
      <c r="AG216" s="710"/>
      <c r="AH216" s="710"/>
      <c r="AI216" s="710"/>
      <c r="AJ216" s="710"/>
      <c r="AK216" s="710"/>
      <c r="AL216" s="710"/>
      <c r="AM216" s="710"/>
      <c r="AN216" s="710"/>
      <c r="AO216" s="710"/>
      <c r="AP216" s="710"/>
    </row>
    <row r="217" spans="2:42">
      <c r="B217" s="710"/>
      <c r="C217" s="710"/>
      <c r="D217" s="710"/>
      <c r="E217" s="710"/>
      <c r="F217" s="710"/>
      <c r="G217" s="710"/>
      <c r="H217" s="710"/>
      <c r="I217" s="710"/>
      <c r="J217" s="710"/>
      <c r="K217" s="710"/>
      <c r="L217" s="710"/>
      <c r="M217" s="710"/>
      <c r="N217" s="710"/>
      <c r="O217" s="710"/>
      <c r="P217" s="710"/>
      <c r="Q217" s="710"/>
      <c r="R217" s="710"/>
      <c r="S217" s="710"/>
      <c r="T217" s="710"/>
      <c r="U217" s="710"/>
      <c r="V217" s="710"/>
      <c r="W217" s="710"/>
      <c r="X217" s="710"/>
      <c r="Y217" s="710"/>
      <c r="Z217" s="710"/>
      <c r="AA217" s="710"/>
      <c r="AB217" s="710"/>
      <c r="AC217" s="710"/>
      <c r="AD217" s="710"/>
      <c r="AE217" s="710"/>
      <c r="AF217" s="710"/>
      <c r="AG217" s="710"/>
      <c r="AH217" s="710"/>
      <c r="AI217" s="710"/>
      <c r="AJ217" s="710"/>
      <c r="AK217" s="710"/>
      <c r="AL217" s="710"/>
      <c r="AM217" s="710"/>
      <c r="AN217" s="710"/>
      <c r="AO217" s="710"/>
      <c r="AP217" s="710"/>
    </row>
    <row r="218" spans="2:42">
      <c r="B218" s="710"/>
      <c r="C218" s="710"/>
      <c r="D218" s="710"/>
      <c r="E218" s="710"/>
      <c r="F218" s="710"/>
      <c r="G218" s="710"/>
      <c r="H218" s="710"/>
      <c r="I218" s="710"/>
      <c r="J218" s="710"/>
      <c r="K218" s="710"/>
      <c r="L218" s="710"/>
      <c r="M218" s="710"/>
      <c r="N218" s="710"/>
      <c r="O218" s="710"/>
      <c r="P218" s="710"/>
      <c r="Q218" s="710"/>
      <c r="R218" s="710"/>
      <c r="S218" s="710"/>
      <c r="T218" s="710"/>
      <c r="U218" s="710"/>
      <c r="V218" s="710"/>
      <c r="W218" s="710"/>
      <c r="X218" s="710"/>
      <c r="Y218" s="710"/>
      <c r="Z218" s="710"/>
      <c r="AA218" s="710"/>
      <c r="AB218" s="710"/>
      <c r="AC218" s="710"/>
      <c r="AD218" s="710"/>
      <c r="AE218" s="710"/>
      <c r="AF218" s="710"/>
      <c r="AG218" s="710"/>
      <c r="AH218" s="710"/>
      <c r="AI218" s="710"/>
      <c r="AJ218" s="710"/>
      <c r="AK218" s="710"/>
      <c r="AL218" s="710"/>
      <c r="AM218" s="710"/>
      <c r="AN218" s="710"/>
      <c r="AO218" s="710"/>
      <c r="AP218" s="710"/>
    </row>
    <row r="219" spans="2:42">
      <c r="B219" s="710"/>
      <c r="C219" s="710"/>
      <c r="D219" s="710"/>
      <c r="E219" s="710"/>
      <c r="F219" s="710"/>
      <c r="G219" s="710"/>
      <c r="H219" s="710"/>
      <c r="I219" s="710"/>
      <c r="J219" s="710"/>
      <c r="K219" s="710"/>
      <c r="L219" s="710"/>
      <c r="M219" s="710"/>
      <c r="N219" s="710"/>
      <c r="O219" s="710"/>
      <c r="P219" s="710"/>
      <c r="Q219" s="710"/>
      <c r="R219" s="710"/>
      <c r="S219" s="710"/>
      <c r="T219" s="710"/>
      <c r="U219" s="710"/>
      <c r="V219" s="710"/>
      <c r="W219" s="710"/>
      <c r="X219" s="710"/>
      <c r="Y219" s="710"/>
      <c r="Z219" s="710"/>
      <c r="AA219" s="710"/>
      <c r="AB219" s="710"/>
      <c r="AC219" s="710"/>
      <c r="AD219" s="710"/>
      <c r="AE219" s="710"/>
      <c r="AF219" s="710"/>
      <c r="AG219" s="710"/>
      <c r="AH219" s="710"/>
      <c r="AI219" s="710"/>
      <c r="AJ219" s="710"/>
      <c r="AK219" s="710"/>
      <c r="AL219" s="710"/>
      <c r="AM219" s="710"/>
      <c r="AN219" s="710"/>
      <c r="AO219" s="710"/>
      <c r="AP219" s="710"/>
    </row>
    <row r="220" spans="2:42">
      <c r="B220" s="710"/>
      <c r="C220" s="710"/>
      <c r="D220" s="710"/>
      <c r="E220" s="710"/>
      <c r="F220" s="710"/>
      <c r="G220" s="710"/>
      <c r="H220" s="710"/>
      <c r="I220" s="710"/>
      <c r="J220" s="710"/>
      <c r="K220" s="710"/>
      <c r="L220" s="710"/>
      <c r="M220" s="710"/>
      <c r="N220" s="710"/>
      <c r="O220" s="710"/>
      <c r="P220" s="710"/>
      <c r="Q220" s="710"/>
      <c r="R220" s="710"/>
      <c r="S220" s="710"/>
      <c r="T220" s="710"/>
      <c r="U220" s="710"/>
      <c r="V220" s="710"/>
      <c r="W220" s="710"/>
      <c r="X220" s="710"/>
      <c r="Y220" s="710"/>
      <c r="Z220" s="710"/>
      <c r="AA220" s="710"/>
      <c r="AB220" s="710"/>
      <c r="AC220" s="710"/>
      <c r="AD220" s="710"/>
      <c r="AE220" s="710"/>
      <c r="AF220" s="710"/>
      <c r="AG220" s="710"/>
      <c r="AH220" s="710"/>
      <c r="AI220" s="710"/>
      <c r="AJ220" s="710"/>
      <c r="AK220" s="710"/>
      <c r="AL220" s="710"/>
      <c r="AM220" s="710"/>
      <c r="AN220" s="710"/>
      <c r="AO220" s="710"/>
      <c r="AP220" s="710"/>
    </row>
    <row r="221" spans="2:42">
      <c r="B221" s="710"/>
      <c r="C221" s="710"/>
      <c r="D221" s="710"/>
      <c r="E221" s="710"/>
      <c r="F221" s="710"/>
      <c r="G221" s="710"/>
      <c r="H221" s="710"/>
      <c r="I221" s="710"/>
      <c r="J221" s="710"/>
      <c r="K221" s="710"/>
      <c r="L221" s="710"/>
      <c r="M221" s="710"/>
      <c r="N221" s="710"/>
      <c r="O221" s="710"/>
      <c r="P221" s="710"/>
      <c r="Q221" s="710"/>
      <c r="R221" s="710"/>
      <c r="S221" s="710"/>
      <c r="T221" s="710"/>
      <c r="U221" s="710"/>
      <c r="V221" s="710"/>
      <c r="W221" s="710"/>
      <c r="X221" s="710"/>
      <c r="Y221" s="710"/>
      <c r="Z221" s="710"/>
      <c r="AA221" s="710"/>
      <c r="AB221" s="710"/>
      <c r="AC221" s="710"/>
      <c r="AD221" s="710"/>
      <c r="AE221" s="710"/>
      <c r="AF221" s="710"/>
      <c r="AG221" s="710"/>
      <c r="AH221" s="710"/>
      <c r="AI221" s="710"/>
      <c r="AJ221" s="710"/>
      <c r="AK221" s="710"/>
      <c r="AL221" s="710"/>
      <c r="AM221" s="710"/>
      <c r="AN221" s="710"/>
      <c r="AO221" s="710"/>
      <c r="AP221" s="710"/>
    </row>
    <row r="222" spans="2:42">
      <c r="B222" s="710"/>
      <c r="C222" s="710"/>
      <c r="D222" s="710"/>
      <c r="E222" s="710"/>
      <c r="F222" s="710"/>
      <c r="G222" s="710"/>
      <c r="H222" s="710"/>
      <c r="I222" s="710"/>
      <c r="J222" s="710"/>
      <c r="K222" s="710"/>
      <c r="L222" s="710"/>
      <c r="M222" s="710"/>
      <c r="N222" s="710"/>
      <c r="O222" s="710"/>
      <c r="P222" s="710"/>
      <c r="Q222" s="710"/>
      <c r="R222" s="710"/>
      <c r="S222" s="710"/>
      <c r="T222" s="710"/>
      <c r="U222" s="710"/>
      <c r="V222" s="710"/>
      <c r="W222" s="710"/>
      <c r="X222" s="710"/>
      <c r="Y222" s="710"/>
      <c r="Z222" s="710"/>
      <c r="AA222" s="710"/>
      <c r="AB222" s="710"/>
      <c r="AC222" s="710"/>
      <c r="AD222" s="710"/>
      <c r="AE222" s="710"/>
      <c r="AF222" s="710"/>
      <c r="AG222" s="710"/>
      <c r="AH222" s="710"/>
      <c r="AI222" s="710"/>
      <c r="AJ222" s="710"/>
      <c r="AK222" s="710"/>
      <c r="AL222" s="710"/>
      <c r="AM222" s="710"/>
      <c r="AN222" s="710"/>
      <c r="AO222" s="710"/>
      <c r="AP222" s="710"/>
    </row>
    <row r="223" spans="2:42">
      <c r="B223" s="710"/>
      <c r="C223" s="710"/>
      <c r="D223" s="710"/>
      <c r="E223" s="710"/>
      <c r="F223" s="710"/>
      <c r="G223" s="710"/>
      <c r="H223" s="710"/>
      <c r="I223" s="710"/>
      <c r="J223" s="710"/>
      <c r="K223" s="710"/>
      <c r="L223" s="710"/>
      <c r="M223" s="710"/>
      <c r="N223" s="710"/>
      <c r="O223" s="710"/>
      <c r="P223" s="710"/>
      <c r="Q223" s="710"/>
      <c r="R223" s="710"/>
      <c r="S223" s="710"/>
      <c r="T223" s="710"/>
      <c r="U223" s="710"/>
      <c r="V223" s="710"/>
      <c r="W223" s="710"/>
      <c r="X223" s="710"/>
      <c r="Y223" s="710"/>
      <c r="Z223" s="710"/>
      <c r="AA223" s="710"/>
      <c r="AB223" s="710"/>
      <c r="AC223" s="710"/>
      <c r="AD223" s="710"/>
      <c r="AE223" s="710"/>
      <c r="AF223" s="710"/>
      <c r="AG223" s="710"/>
      <c r="AH223" s="710"/>
      <c r="AI223" s="710"/>
      <c r="AJ223" s="710"/>
      <c r="AK223" s="710"/>
      <c r="AL223" s="710"/>
      <c r="AM223" s="710"/>
      <c r="AN223" s="710"/>
      <c r="AO223" s="710"/>
      <c r="AP223" s="710"/>
    </row>
    <row r="224" spans="2:42">
      <c r="B224" s="710"/>
      <c r="C224" s="710"/>
      <c r="D224" s="710"/>
      <c r="E224" s="710"/>
      <c r="F224" s="710"/>
      <c r="G224" s="710"/>
      <c r="H224" s="710"/>
      <c r="I224" s="710"/>
      <c r="J224" s="710"/>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row>
    <row r="225" spans="2:42">
      <c r="B225" s="710"/>
      <c r="C225" s="710"/>
      <c r="D225" s="710"/>
      <c r="E225" s="710"/>
      <c r="F225" s="710"/>
      <c r="G225" s="710"/>
      <c r="H225" s="710"/>
      <c r="I225" s="710"/>
      <c r="J225" s="710"/>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row>
    <row r="226" spans="2:42">
      <c r="B226" s="710"/>
      <c r="C226" s="710"/>
      <c r="D226" s="710"/>
      <c r="E226" s="710"/>
      <c r="F226" s="710"/>
      <c r="G226" s="710"/>
      <c r="H226" s="710"/>
      <c r="I226" s="710"/>
      <c r="J226" s="710"/>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row>
    <row r="227" spans="2:42">
      <c r="B227" s="710"/>
      <c r="C227" s="710"/>
      <c r="D227" s="710"/>
      <c r="E227" s="710"/>
      <c r="F227" s="710"/>
      <c r="G227" s="710"/>
      <c r="H227" s="710"/>
      <c r="I227" s="710"/>
      <c r="J227" s="710"/>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row>
    <row r="228" spans="2:42">
      <c r="B228" s="710"/>
      <c r="C228" s="710"/>
      <c r="D228" s="710"/>
      <c r="E228" s="710"/>
      <c r="F228" s="710"/>
      <c r="G228" s="710"/>
      <c r="H228" s="710"/>
      <c r="I228" s="710"/>
      <c r="J228" s="710"/>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row>
    <row r="229" spans="2:42">
      <c r="B229" s="710"/>
      <c r="C229" s="710"/>
      <c r="D229" s="710"/>
      <c r="E229" s="710"/>
      <c r="F229" s="710"/>
      <c r="G229" s="710"/>
      <c r="H229" s="710"/>
      <c r="I229" s="710"/>
      <c r="J229" s="710"/>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row>
    <row r="230" spans="2:42">
      <c r="B230" s="710"/>
      <c r="C230" s="710"/>
      <c r="D230" s="710"/>
      <c r="E230" s="710"/>
      <c r="F230" s="710"/>
      <c r="G230" s="710"/>
      <c r="H230" s="710"/>
      <c r="I230" s="710"/>
      <c r="J230" s="710"/>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row>
    <row r="231" spans="2:42">
      <c r="B231" s="710"/>
      <c r="C231" s="710"/>
      <c r="D231" s="710"/>
      <c r="E231" s="710"/>
      <c r="F231" s="710"/>
      <c r="G231" s="710"/>
      <c r="H231" s="710"/>
      <c r="I231" s="710"/>
      <c r="J231" s="710"/>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row>
    <row r="232" spans="2:42">
      <c r="B232" s="710"/>
      <c r="C232" s="710"/>
      <c r="D232" s="710"/>
      <c r="E232" s="710"/>
      <c r="F232" s="710"/>
      <c r="G232" s="710"/>
      <c r="H232" s="710"/>
      <c r="I232" s="710"/>
      <c r="J232" s="710"/>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row>
    <row r="233" spans="2:42">
      <c r="B233" s="710"/>
      <c r="C233" s="710"/>
      <c r="D233" s="710"/>
      <c r="E233" s="710"/>
      <c r="F233" s="710"/>
      <c r="G233" s="710"/>
      <c r="H233" s="710"/>
      <c r="I233" s="710"/>
      <c r="J233" s="710"/>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row>
    <row r="234" spans="2:42">
      <c r="B234" s="710"/>
      <c r="C234" s="710"/>
      <c r="D234" s="710"/>
      <c r="E234" s="710"/>
      <c r="F234" s="710"/>
      <c r="G234" s="710"/>
      <c r="H234" s="710"/>
      <c r="I234" s="710"/>
      <c r="J234" s="710"/>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row>
    <row r="235" spans="2:42">
      <c r="B235" s="710"/>
      <c r="C235" s="710"/>
      <c r="D235" s="710"/>
      <c r="E235" s="710"/>
      <c r="F235" s="710"/>
      <c r="G235" s="710"/>
      <c r="H235" s="710"/>
      <c r="I235" s="710"/>
      <c r="J235" s="710"/>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row>
    <row r="236" spans="2:42">
      <c r="B236" s="710"/>
      <c r="C236" s="710"/>
      <c r="D236" s="710"/>
      <c r="E236" s="710"/>
      <c r="F236" s="710"/>
      <c r="G236" s="710"/>
      <c r="H236" s="710"/>
      <c r="I236" s="710"/>
      <c r="J236" s="710"/>
      <c r="K236" s="710"/>
      <c r="L236" s="710"/>
      <c r="M236" s="710"/>
      <c r="N236" s="710"/>
      <c r="O236" s="710"/>
      <c r="P236" s="710"/>
      <c r="Q236" s="710"/>
      <c r="R236" s="710"/>
      <c r="S236" s="710"/>
      <c r="T236" s="710"/>
      <c r="U236" s="710"/>
      <c r="V236" s="710"/>
      <c r="W236" s="710"/>
      <c r="X236" s="710"/>
      <c r="Y236" s="710"/>
      <c r="Z236" s="710"/>
      <c r="AA236" s="710"/>
      <c r="AB236" s="710"/>
      <c r="AC236" s="710"/>
      <c r="AD236" s="710"/>
      <c r="AE236" s="710"/>
      <c r="AF236" s="710"/>
      <c r="AG236" s="710"/>
      <c r="AH236" s="710"/>
      <c r="AI236" s="710"/>
      <c r="AJ236" s="710"/>
      <c r="AK236" s="710"/>
      <c r="AL236" s="710"/>
      <c r="AM236" s="710"/>
      <c r="AN236" s="710"/>
      <c r="AO236" s="710"/>
      <c r="AP236" s="710"/>
    </row>
    <row r="237" spans="2:42">
      <c r="B237" s="710"/>
      <c r="C237" s="710"/>
      <c r="D237" s="710"/>
      <c r="E237" s="710"/>
      <c r="F237" s="710"/>
      <c r="G237" s="710"/>
      <c r="H237" s="710"/>
      <c r="I237" s="710"/>
      <c r="J237" s="710"/>
      <c r="K237" s="710"/>
      <c r="L237" s="710"/>
      <c r="M237" s="710"/>
      <c r="N237" s="710"/>
      <c r="O237" s="710"/>
      <c r="P237" s="710"/>
      <c r="Q237" s="710"/>
      <c r="R237" s="710"/>
      <c r="S237" s="710"/>
      <c r="T237" s="710"/>
      <c r="U237" s="710"/>
      <c r="V237" s="710"/>
      <c r="W237" s="710"/>
      <c r="X237" s="710"/>
      <c r="Y237" s="710"/>
      <c r="Z237" s="710"/>
      <c r="AA237" s="710"/>
      <c r="AB237" s="710"/>
      <c r="AC237" s="710"/>
      <c r="AD237" s="710"/>
      <c r="AE237" s="710"/>
      <c r="AF237" s="710"/>
      <c r="AG237" s="710"/>
      <c r="AH237" s="710"/>
      <c r="AI237" s="710"/>
      <c r="AJ237" s="710"/>
      <c r="AK237" s="710"/>
      <c r="AL237" s="710"/>
      <c r="AM237" s="710"/>
      <c r="AN237" s="710"/>
      <c r="AO237" s="710"/>
      <c r="AP237" s="710"/>
    </row>
    <row r="238" spans="2:42">
      <c r="B238" s="710"/>
      <c r="C238" s="710"/>
      <c r="D238" s="710"/>
      <c r="E238" s="710"/>
      <c r="F238" s="710"/>
      <c r="G238" s="710"/>
      <c r="H238" s="710"/>
      <c r="I238" s="710"/>
      <c r="J238" s="710"/>
      <c r="K238" s="710"/>
      <c r="L238" s="710"/>
      <c r="M238" s="710"/>
      <c r="N238" s="710"/>
      <c r="O238" s="710"/>
      <c r="P238" s="710"/>
      <c r="Q238" s="710"/>
      <c r="R238" s="710"/>
      <c r="S238" s="710"/>
      <c r="T238" s="710"/>
      <c r="U238" s="710"/>
      <c r="V238" s="710"/>
      <c r="W238" s="710"/>
      <c r="X238" s="710"/>
      <c r="Y238" s="710"/>
      <c r="Z238" s="710"/>
      <c r="AA238" s="710"/>
      <c r="AB238" s="710"/>
      <c r="AC238" s="710"/>
      <c r="AD238" s="710"/>
      <c r="AE238" s="710"/>
      <c r="AF238" s="710"/>
      <c r="AG238" s="710"/>
      <c r="AH238" s="710"/>
      <c r="AI238" s="710"/>
      <c r="AJ238" s="710"/>
      <c r="AK238" s="710"/>
      <c r="AL238" s="710"/>
      <c r="AM238" s="710"/>
      <c r="AN238" s="710"/>
      <c r="AO238" s="710"/>
      <c r="AP238" s="710"/>
    </row>
    <row r="239" spans="2:42">
      <c r="B239" s="710"/>
      <c r="C239" s="710"/>
      <c r="D239" s="710"/>
      <c r="E239" s="710"/>
      <c r="F239" s="710"/>
      <c r="G239" s="710"/>
      <c r="H239" s="710"/>
      <c r="I239" s="710"/>
      <c r="J239" s="710"/>
      <c r="K239" s="710"/>
      <c r="L239" s="710"/>
      <c r="M239" s="710"/>
      <c r="N239" s="710"/>
      <c r="O239" s="710"/>
      <c r="P239" s="710"/>
      <c r="Q239" s="710"/>
      <c r="R239" s="710"/>
      <c r="S239" s="710"/>
      <c r="T239" s="710"/>
      <c r="U239" s="710"/>
      <c r="V239" s="710"/>
      <c r="W239" s="710"/>
      <c r="X239" s="710"/>
      <c r="Y239" s="710"/>
      <c r="Z239" s="710"/>
      <c r="AA239" s="710"/>
      <c r="AB239" s="710"/>
      <c r="AC239" s="710"/>
      <c r="AD239" s="710"/>
      <c r="AE239" s="710"/>
      <c r="AF239" s="710"/>
      <c r="AG239" s="710"/>
      <c r="AH239" s="710"/>
      <c r="AI239" s="710"/>
      <c r="AJ239" s="710"/>
      <c r="AK239" s="710"/>
      <c r="AL239" s="710"/>
      <c r="AM239" s="710"/>
      <c r="AN239" s="710"/>
      <c r="AO239" s="710"/>
      <c r="AP239" s="710"/>
    </row>
    <row r="240" spans="2:42">
      <c r="B240" s="710"/>
      <c r="C240" s="710"/>
      <c r="D240" s="710"/>
      <c r="E240" s="710"/>
      <c r="F240" s="710"/>
      <c r="G240" s="710"/>
      <c r="H240" s="710"/>
      <c r="I240" s="710"/>
      <c r="J240" s="710"/>
      <c r="K240" s="710"/>
      <c r="L240" s="710"/>
      <c r="M240" s="710"/>
      <c r="N240" s="710"/>
      <c r="O240" s="710"/>
      <c r="P240" s="710"/>
      <c r="Q240" s="710"/>
      <c r="R240" s="710"/>
      <c r="S240" s="710"/>
      <c r="T240" s="710"/>
      <c r="U240" s="710"/>
      <c r="V240" s="710"/>
      <c r="W240" s="710"/>
      <c r="X240" s="710"/>
      <c r="Y240" s="710"/>
      <c r="Z240" s="710"/>
      <c r="AA240" s="710"/>
      <c r="AB240" s="710"/>
      <c r="AC240" s="710"/>
      <c r="AD240" s="710"/>
      <c r="AE240" s="710"/>
      <c r="AF240" s="710"/>
      <c r="AG240" s="710"/>
      <c r="AH240" s="710"/>
      <c r="AI240" s="710"/>
      <c r="AJ240" s="710"/>
      <c r="AK240" s="710"/>
      <c r="AL240" s="710"/>
      <c r="AM240" s="710"/>
      <c r="AN240" s="710"/>
      <c r="AO240" s="710"/>
      <c r="AP240" s="710"/>
    </row>
    <row r="241" spans="2:42">
      <c r="B241" s="710"/>
      <c r="C241" s="710"/>
      <c r="D241" s="710"/>
      <c r="E241" s="710"/>
      <c r="F241" s="710"/>
      <c r="G241" s="710"/>
      <c r="H241" s="710"/>
      <c r="I241" s="710"/>
      <c r="J241" s="710"/>
      <c r="K241" s="710"/>
      <c r="L241" s="710"/>
      <c r="M241" s="710"/>
      <c r="N241" s="710"/>
      <c r="O241" s="710"/>
      <c r="P241" s="710"/>
      <c r="Q241" s="710"/>
      <c r="R241" s="710"/>
      <c r="S241" s="710"/>
      <c r="T241" s="710"/>
      <c r="U241" s="710"/>
      <c r="V241" s="710"/>
      <c r="W241" s="710"/>
      <c r="X241" s="710"/>
      <c r="Y241" s="710"/>
      <c r="Z241" s="710"/>
      <c r="AA241" s="710"/>
      <c r="AB241" s="710"/>
      <c r="AC241" s="710"/>
      <c r="AD241" s="710"/>
      <c r="AE241" s="710"/>
      <c r="AF241" s="710"/>
      <c r="AG241" s="710"/>
      <c r="AH241" s="710"/>
      <c r="AI241" s="710"/>
      <c r="AJ241" s="710"/>
      <c r="AK241" s="710"/>
      <c r="AL241" s="710"/>
      <c r="AM241" s="710"/>
      <c r="AN241" s="710"/>
      <c r="AO241" s="710"/>
      <c r="AP241" s="710"/>
    </row>
    <row r="242" spans="2:42">
      <c r="B242" s="710"/>
      <c r="C242" s="710"/>
      <c r="D242" s="710"/>
      <c r="E242" s="710"/>
      <c r="F242" s="710"/>
      <c r="G242" s="710"/>
      <c r="H242" s="710"/>
      <c r="I242" s="710"/>
      <c r="J242" s="710"/>
      <c r="K242" s="710"/>
      <c r="L242" s="710"/>
      <c r="M242" s="710"/>
      <c r="N242" s="710"/>
      <c r="O242" s="710"/>
      <c r="P242" s="710"/>
      <c r="Q242" s="710"/>
      <c r="R242" s="710"/>
      <c r="S242" s="710"/>
      <c r="T242" s="710"/>
      <c r="U242" s="710"/>
      <c r="V242" s="710"/>
      <c r="W242" s="710"/>
      <c r="X242" s="710"/>
      <c r="Y242" s="710"/>
      <c r="Z242" s="710"/>
      <c r="AA242" s="710"/>
      <c r="AB242" s="710"/>
      <c r="AC242" s="710"/>
      <c r="AD242" s="710"/>
      <c r="AE242" s="710"/>
      <c r="AF242" s="710"/>
      <c r="AG242" s="710"/>
      <c r="AH242" s="710"/>
      <c r="AI242" s="710"/>
      <c r="AJ242" s="710"/>
      <c r="AK242" s="710"/>
      <c r="AL242" s="710"/>
      <c r="AM242" s="710"/>
      <c r="AN242" s="710"/>
      <c r="AO242" s="710"/>
      <c r="AP242" s="710"/>
    </row>
    <row r="243" spans="2:42">
      <c r="B243" s="710"/>
      <c r="C243" s="710"/>
      <c r="D243" s="710"/>
      <c r="E243" s="710"/>
      <c r="F243" s="710"/>
      <c r="G243" s="710"/>
      <c r="H243" s="710"/>
      <c r="I243" s="710"/>
      <c r="J243" s="710"/>
      <c r="K243" s="710"/>
      <c r="L243" s="710"/>
      <c r="M243" s="710"/>
      <c r="N243" s="710"/>
      <c r="O243" s="710"/>
      <c r="P243" s="710"/>
      <c r="Q243" s="710"/>
      <c r="R243" s="710"/>
      <c r="S243" s="710"/>
      <c r="T243" s="710"/>
      <c r="U243" s="710"/>
      <c r="V243" s="710"/>
      <c r="W243" s="710"/>
      <c r="X243" s="710"/>
      <c r="Y243" s="710"/>
      <c r="Z243" s="710"/>
      <c r="AA243" s="710"/>
      <c r="AB243" s="710"/>
      <c r="AC243" s="710"/>
      <c r="AD243" s="710"/>
      <c r="AE243" s="710"/>
      <c r="AF243" s="710"/>
      <c r="AG243" s="710"/>
      <c r="AH243" s="710"/>
      <c r="AI243" s="710"/>
      <c r="AJ243" s="710"/>
      <c r="AK243" s="710"/>
      <c r="AL243" s="710"/>
      <c r="AM243" s="710"/>
      <c r="AN243" s="710"/>
      <c r="AO243" s="710"/>
      <c r="AP243" s="710"/>
    </row>
    <row r="244" spans="2:42">
      <c r="B244" s="710"/>
      <c r="C244" s="710"/>
      <c r="D244" s="710"/>
      <c r="E244" s="710"/>
      <c r="F244" s="710"/>
      <c r="G244" s="710"/>
      <c r="H244" s="710"/>
      <c r="I244" s="710"/>
      <c r="J244" s="710"/>
      <c r="K244" s="710"/>
      <c r="L244" s="710"/>
      <c r="M244" s="710"/>
      <c r="N244" s="710"/>
      <c r="O244" s="710"/>
      <c r="P244" s="710"/>
      <c r="Q244" s="710"/>
      <c r="R244" s="710"/>
      <c r="S244" s="710"/>
      <c r="T244" s="710"/>
      <c r="U244" s="710"/>
      <c r="V244" s="710"/>
      <c r="W244" s="710"/>
      <c r="X244" s="710"/>
      <c r="Y244" s="710"/>
      <c r="Z244" s="710"/>
      <c r="AA244" s="710"/>
      <c r="AB244" s="710"/>
      <c r="AC244" s="710"/>
      <c r="AD244" s="710"/>
      <c r="AE244" s="710"/>
      <c r="AF244" s="710"/>
      <c r="AG244" s="710"/>
      <c r="AH244" s="710"/>
      <c r="AI244" s="710"/>
      <c r="AJ244" s="710"/>
      <c r="AK244" s="710"/>
      <c r="AL244" s="710"/>
      <c r="AM244" s="710"/>
      <c r="AN244" s="710"/>
      <c r="AO244" s="710"/>
      <c r="AP244" s="710"/>
    </row>
    <row r="245" spans="2:42">
      <c r="B245" s="710"/>
      <c r="C245" s="710"/>
      <c r="D245" s="710"/>
      <c r="E245" s="710"/>
      <c r="F245" s="710"/>
      <c r="G245" s="710"/>
      <c r="H245" s="710"/>
      <c r="I245" s="710"/>
      <c r="J245" s="710"/>
      <c r="K245" s="710"/>
      <c r="L245" s="710"/>
      <c r="M245" s="710"/>
      <c r="N245" s="710"/>
      <c r="O245" s="710"/>
      <c r="P245" s="710"/>
      <c r="Q245" s="710"/>
      <c r="R245" s="710"/>
      <c r="S245" s="710"/>
      <c r="T245" s="710"/>
      <c r="U245" s="710"/>
      <c r="V245" s="710"/>
      <c r="W245" s="710"/>
      <c r="X245" s="710"/>
      <c r="Y245" s="710"/>
      <c r="Z245" s="710"/>
      <c r="AA245" s="710"/>
      <c r="AB245" s="710"/>
      <c r="AC245" s="710"/>
      <c r="AD245" s="710"/>
      <c r="AE245" s="710"/>
      <c r="AF245" s="710"/>
      <c r="AG245" s="710"/>
      <c r="AH245" s="710"/>
      <c r="AI245" s="710"/>
      <c r="AJ245" s="710"/>
      <c r="AK245" s="710"/>
      <c r="AL245" s="710"/>
      <c r="AM245" s="710"/>
      <c r="AN245" s="710"/>
      <c r="AO245" s="710"/>
      <c r="AP245" s="710"/>
    </row>
    <row r="246" spans="2:42">
      <c r="B246" s="710"/>
      <c r="C246" s="710"/>
      <c r="D246" s="710"/>
      <c r="E246" s="710"/>
      <c r="F246" s="710"/>
      <c r="G246" s="710"/>
      <c r="H246" s="710"/>
      <c r="I246" s="710"/>
      <c r="J246" s="710"/>
      <c r="K246" s="710"/>
      <c r="L246" s="710"/>
      <c r="M246" s="710"/>
      <c r="N246" s="710"/>
      <c r="O246" s="710"/>
      <c r="P246" s="710"/>
      <c r="Q246" s="710"/>
      <c r="R246" s="710"/>
      <c r="S246" s="710"/>
      <c r="T246" s="710"/>
      <c r="U246" s="710"/>
      <c r="V246" s="710"/>
      <c r="W246" s="710"/>
      <c r="X246" s="710"/>
      <c r="Y246" s="710"/>
      <c r="Z246" s="710"/>
      <c r="AA246" s="710"/>
      <c r="AB246" s="710"/>
      <c r="AC246" s="710"/>
      <c r="AD246" s="710"/>
      <c r="AE246" s="710"/>
      <c r="AF246" s="710"/>
      <c r="AG246" s="710"/>
      <c r="AH246" s="710"/>
      <c r="AI246" s="710"/>
      <c r="AJ246" s="710"/>
      <c r="AK246" s="710"/>
      <c r="AL246" s="710"/>
      <c r="AM246" s="710"/>
      <c r="AN246" s="710"/>
      <c r="AO246" s="710"/>
      <c r="AP246" s="710"/>
    </row>
    <row r="247" spans="2:42">
      <c r="B247" s="710"/>
      <c r="C247" s="710"/>
      <c r="D247" s="710"/>
      <c r="E247" s="710"/>
      <c r="F247" s="710"/>
      <c r="G247" s="710"/>
      <c r="H247" s="710"/>
      <c r="I247" s="710"/>
      <c r="J247" s="710"/>
      <c r="K247" s="710"/>
      <c r="L247" s="710"/>
      <c r="M247" s="710"/>
      <c r="N247" s="710"/>
      <c r="O247" s="710"/>
      <c r="P247" s="710"/>
      <c r="Q247" s="710"/>
      <c r="R247" s="710"/>
      <c r="S247" s="710"/>
      <c r="T247" s="710"/>
      <c r="U247" s="710"/>
      <c r="V247" s="710"/>
      <c r="W247" s="710"/>
      <c r="X247" s="710"/>
      <c r="Y247" s="710"/>
      <c r="Z247" s="710"/>
      <c r="AA247" s="710"/>
      <c r="AB247" s="710"/>
      <c r="AC247" s="710"/>
      <c r="AD247" s="710"/>
      <c r="AE247" s="710"/>
      <c r="AF247" s="710"/>
      <c r="AG247" s="710"/>
      <c r="AH247" s="710"/>
      <c r="AI247" s="710"/>
      <c r="AJ247" s="710"/>
      <c r="AK247" s="710"/>
      <c r="AL247" s="710"/>
      <c r="AM247" s="710"/>
      <c r="AN247" s="710"/>
      <c r="AO247" s="710"/>
      <c r="AP247" s="710"/>
    </row>
    <row r="248" spans="2:42">
      <c r="B248" s="710"/>
      <c r="C248" s="710"/>
      <c r="D248" s="710"/>
      <c r="E248" s="710"/>
      <c r="F248" s="710"/>
      <c r="G248" s="710"/>
      <c r="H248" s="710"/>
      <c r="I248" s="710"/>
      <c r="J248" s="710"/>
      <c r="K248" s="710"/>
      <c r="L248" s="710"/>
      <c r="M248" s="710"/>
      <c r="N248" s="710"/>
      <c r="O248" s="710"/>
      <c r="P248" s="710"/>
      <c r="Q248" s="710"/>
      <c r="R248" s="710"/>
      <c r="S248" s="710"/>
      <c r="T248" s="710"/>
      <c r="U248" s="710"/>
      <c r="V248" s="710"/>
      <c r="W248" s="710"/>
      <c r="X248" s="710"/>
      <c r="Y248" s="710"/>
      <c r="Z248" s="710"/>
      <c r="AA248" s="710"/>
      <c r="AB248" s="710"/>
      <c r="AC248" s="710"/>
      <c r="AD248" s="710"/>
      <c r="AE248" s="710"/>
      <c r="AF248" s="710"/>
      <c r="AG248" s="710"/>
      <c r="AH248" s="710"/>
      <c r="AI248" s="710"/>
      <c r="AJ248" s="710"/>
      <c r="AK248" s="710"/>
      <c r="AL248" s="710"/>
      <c r="AM248" s="710"/>
      <c r="AN248" s="710"/>
      <c r="AO248" s="710"/>
      <c r="AP248" s="710"/>
    </row>
    <row r="249" spans="2:42">
      <c r="B249" s="710"/>
      <c r="C249" s="710"/>
      <c r="D249" s="710"/>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710"/>
      <c r="AB249" s="710"/>
      <c r="AC249" s="710"/>
      <c r="AD249" s="710"/>
      <c r="AE249" s="710"/>
      <c r="AF249" s="710"/>
      <c r="AG249" s="710"/>
      <c r="AH249" s="710"/>
      <c r="AI249" s="710"/>
      <c r="AJ249" s="710"/>
      <c r="AK249" s="710"/>
      <c r="AL249" s="710"/>
      <c r="AM249" s="710"/>
      <c r="AN249" s="710"/>
      <c r="AO249" s="710"/>
      <c r="AP249" s="710"/>
    </row>
    <row r="250" spans="2:42">
      <c r="B250" s="710"/>
      <c r="C250" s="710"/>
      <c r="D250" s="710"/>
      <c r="E250" s="710"/>
      <c r="F250" s="710"/>
      <c r="G250" s="710"/>
      <c r="H250" s="710"/>
      <c r="I250" s="710"/>
      <c r="J250" s="710"/>
      <c r="K250" s="710"/>
      <c r="L250" s="710"/>
      <c r="M250" s="710"/>
      <c r="N250" s="710"/>
      <c r="O250" s="710"/>
      <c r="P250" s="710"/>
      <c r="Q250" s="710"/>
      <c r="R250" s="710"/>
      <c r="S250" s="710"/>
      <c r="T250" s="710"/>
      <c r="U250" s="710"/>
      <c r="V250" s="710"/>
      <c r="W250" s="710"/>
      <c r="X250" s="710"/>
      <c r="Y250" s="710"/>
      <c r="Z250" s="710"/>
      <c r="AA250" s="710"/>
      <c r="AB250" s="710"/>
      <c r="AC250" s="710"/>
      <c r="AD250" s="710"/>
      <c r="AE250" s="710"/>
      <c r="AF250" s="710"/>
      <c r="AG250" s="710"/>
      <c r="AH250" s="710"/>
      <c r="AI250" s="710"/>
      <c r="AJ250" s="710"/>
      <c r="AK250" s="710"/>
      <c r="AL250" s="710"/>
      <c r="AM250" s="710"/>
      <c r="AN250" s="710"/>
      <c r="AO250" s="710"/>
      <c r="AP250" s="710"/>
    </row>
    <row r="251" spans="2:42">
      <c r="B251" s="710"/>
      <c r="C251" s="710"/>
      <c r="D251" s="710"/>
      <c r="E251" s="710"/>
      <c r="F251" s="710"/>
      <c r="G251" s="710"/>
      <c r="H251" s="710"/>
      <c r="I251" s="710"/>
      <c r="J251" s="710"/>
      <c r="K251" s="710"/>
      <c r="L251" s="710"/>
      <c r="M251" s="710"/>
      <c r="N251" s="710"/>
      <c r="O251" s="710"/>
      <c r="P251" s="710"/>
      <c r="Q251" s="710"/>
      <c r="R251" s="710"/>
      <c r="S251" s="710"/>
      <c r="T251" s="710"/>
      <c r="U251" s="710"/>
      <c r="V251" s="710"/>
      <c r="W251" s="710"/>
      <c r="X251" s="710"/>
      <c r="Y251" s="710"/>
      <c r="Z251" s="710"/>
      <c r="AA251" s="710"/>
      <c r="AB251" s="710"/>
      <c r="AC251" s="710"/>
      <c r="AD251" s="710"/>
      <c r="AE251" s="710"/>
      <c r="AF251" s="710"/>
      <c r="AG251" s="710"/>
      <c r="AH251" s="710"/>
      <c r="AI251" s="710"/>
      <c r="AJ251" s="710"/>
      <c r="AK251" s="710"/>
      <c r="AL251" s="710"/>
      <c r="AM251" s="710"/>
      <c r="AN251" s="710"/>
      <c r="AO251" s="710"/>
      <c r="AP251" s="710"/>
    </row>
    <row r="252" spans="2:42">
      <c r="B252" s="710"/>
      <c r="C252" s="710"/>
      <c r="D252" s="710"/>
      <c r="E252" s="710"/>
      <c r="F252" s="710"/>
      <c r="G252" s="710"/>
      <c r="H252" s="710"/>
      <c r="I252" s="710"/>
      <c r="J252" s="710"/>
      <c r="K252" s="710"/>
      <c r="L252" s="710"/>
      <c r="M252" s="710"/>
      <c r="N252" s="710"/>
      <c r="O252" s="710"/>
      <c r="P252" s="710"/>
      <c r="Q252" s="710"/>
      <c r="R252" s="710"/>
      <c r="S252" s="710"/>
      <c r="T252" s="710"/>
      <c r="U252" s="710"/>
      <c r="V252" s="710"/>
      <c r="W252" s="710"/>
      <c r="X252" s="710"/>
      <c r="Y252" s="710"/>
      <c r="Z252" s="710"/>
      <c r="AA252" s="710"/>
      <c r="AB252" s="710"/>
      <c r="AC252" s="710"/>
      <c r="AD252" s="710"/>
      <c r="AE252" s="710"/>
      <c r="AF252" s="710"/>
      <c r="AG252" s="710"/>
      <c r="AH252" s="710"/>
      <c r="AI252" s="710"/>
      <c r="AJ252" s="710"/>
      <c r="AK252" s="710"/>
      <c r="AL252" s="710"/>
      <c r="AM252" s="710"/>
      <c r="AN252" s="710"/>
      <c r="AO252" s="710"/>
      <c r="AP252" s="710"/>
    </row>
    <row r="253" spans="2:42">
      <c r="B253" s="710"/>
      <c r="C253" s="710"/>
      <c r="D253" s="710"/>
      <c r="E253" s="710"/>
      <c r="F253" s="710"/>
      <c r="G253" s="710"/>
      <c r="H253" s="710"/>
      <c r="I253" s="710"/>
      <c r="J253" s="710"/>
      <c r="K253" s="710"/>
      <c r="L253" s="710"/>
      <c r="M253" s="710"/>
      <c r="N253" s="710"/>
      <c r="O253" s="710"/>
      <c r="P253" s="710"/>
      <c r="Q253" s="710"/>
      <c r="R253" s="710"/>
      <c r="S253" s="710"/>
      <c r="T253" s="710"/>
      <c r="U253" s="710"/>
      <c r="V253" s="710"/>
      <c r="W253" s="710"/>
      <c r="X253" s="710"/>
      <c r="Y253" s="710"/>
      <c r="Z253" s="710"/>
      <c r="AA253" s="710"/>
      <c r="AB253" s="710"/>
      <c r="AC253" s="710"/>
      <c r="AD253" s="710"/>
      <c r="AE253" s="710"/>
      <c r="AF253" s="710"/>
      <c r="AG253" s="710"/>
      <c r="AH253" s="710"/>
      <c r="AI253" s="710"/>
      <c r="AJ253" s="710"/>
      <c r="AK253" s="710"/>
      <c r="AL253" s="710"/>
      <c r="AM253" s="710"/>
      <c r="AN253" s="710"/>
      <c r="AO253" s="710"/>
      <c r="AP253" s="710"/>
    </row>
    <row r="254" spans="2:42">
      <c r="B254" s="710"/>
      <c r="C254" s="710"/>
      <c r="D254" s="710"/>
      <c r="E254" s="710"/>
      <c r="F254" s="710"/>
      <c r="G254" s="710"/>
      <c r="H254" s="710"/>
      <c r="I254" s="710"/>
      <c r="J254" s="710"/>
      <c r="K254" s="710"/>
      <c r="L254" s="710"/>
      <c r="M254" s="710"/>
      <c r="N254" s="710"/>
      <c r="O254" s="710"/>
      <c r="P254" s="710"/>
      <c r="Q254" s="710"/>
      <c r="R254" s="710"/>
      <c r="S254" s="710"/>
      <c r="T254" s="710"/>
      <c r="U254" s="710"/>
      <c r="V254" s="710"/>
      <c r="W254" s="710"/>
      <c r="X254" s="710"/>
      <c r="Y254" s="710"/>
      <c r="Z254" s="710"/>
      <c r="AA254" s="710"/>
      <c r="AB254" s="710"/>
      <c r="AC254" s="710"/>
      <c r="AD254" s="710"/>
      <c r="AE254" s="710"/>
      <c r="AF254" s="710"/>
      <c r="AG254" s="710"/>
      <c r="AH254" s="710"/>
      <c r="AI254" s="710"/>
      <c r="AJ254" s="710"/>
      <c r="AK254" s="710"/>
      <c r="AL254" s="710"/>
      <c r="AM254" s="710"/>
      <c r="AN254" s="710"/>
      <c r="AO254" s="710"/>
      <c r="AP254" s="710"/>
    </row>
    <row r="255" spans="2:42">
      <c r="B255" s="710"/>
      <c r="C255" s="710"/>
      <c r="D255" s="710"/>
      <c r="E255" s="710"/>
      <c r="F255" s="710"/>
      <c r="G255" s="710"/>
      <c r="H255" s="710"/>
      <c r="I255" s="710"/>
      <c r="J255" s="710"/>
      <c r="K255" s="710"/>
      <c r="L255" s="710"/>
      <c r="M255" s="710"/>
      <c r="N255" s="710"/>
      <c r="O255" s="710"/>
      <c r="P255" s="710"/>
      <c r="Q255" s="710"/>
      <c r="R255" s="710"/>
      <c r="S255" s="710"/>
      <c r="T255" s="710"/>
      <c r="U255" s="710"/>
      <c r="V255" s="710"/>
      <c r="W255" s="710"/>
      <c r="X255" s="710"/>
      <c r="Y255" s="710"/>
      <c r="Z255" s="710"/>
      <c r="AA255" s="710"/>
      <c r="AB255" s="710"/>
      <c r="AC255" s="710"/>
      <c r="AD255" s="710"/>
      <c r="AE255" s="710"/>
      <c r="AF255" s="710"/>
      <c r="AG255" s="710"/>
      <c r="AH255" s="710"/>
      <c r="AI255" s="710"/>
      <c r="AJ255" s="710"/>
      <c r="AK255" s="710"/>
      <c r="AL255" s="710"/>
      <c r="AM255" s="710"/>
      <c r="AN255" s="710"/>
      <c r="AO255" s="710"/>
      <c r="AP255" s="710"/>
    </row>
    <row r="256" spans="2:42">
      <c r="B256" s="710"/>
      <c r="C256" s="710"/>
      <c r="D256" s="710"/>
      <c r="E256" s="710"/>
      <c r="F256" s="710"/>
      <c r="G256" s="710"/>
      <c r="H256" s="710"/>
      <c r="I256" s="710"/>
      <c r="J256" s="710"/>
      <c r="K256" s="710"/>
      <c r="L256" s="710"/>
      <c r="M256" s="710"/>
      <c r="N256" s="710"/>
      <c r="O256" s="710"/>
      <c r="P256" s="710"/>
      <c r="Q256" s="710"/>
      <c r="R256" s="710"/>
      <c r="S256" s="710"/>
      <c r="T256" s="710"/>
      <c r="U256" s="710"/>
      <c r="V256" s="710"/>
      <c r="W256" s="710"/>
      <c r="X256" s="710"/>
      <c r="Y256" s="710"/>
      <c r="Z256" s="710"/>
      <c r="AA256" s="710"/>
      <c r="AB256" s="710"/>
      <c r="AC256" s="710"/>
      <c r="AD256" s="710"/>
      <c r="AE256" s="710"/>
      <c r="AF256" s="710"/>
      <c r="AG256" s="710"/>
      <c r="AH256" s="710"/>
      <c r="AI256" s="710"/>
      <c r="AJ256" s="710"/>
      <c r="AK256" s="710"/>
      <c r="AL256" s="710"/>
      <c r="AM256" s="710"/>
      <c r="AN256" s="710"/>
      <c r="AO256" s="710"/>
      <c r="AP256" s="710"/>
    </row>
    <row r="257" spans="2:42">
      <c r="B257" s="710"/>
      <c r="C257" s="710"/>
      <c r="D257" s="710"/>
      <c r="E257" s="710"/>
      <c r="F257" s="710"/>
      <c r="G257" s="710"/>
      <c r="H257" s="710"/>
      <c r="I257" s="710"/>
      <c r="J257" s="710"/>
      <c r="K257" s="710"/>
      <c r="L257" s="710"/>
      <c r="M257" s="710"/>
      <c r="N257" s="710"/>
      <c r="O257" s="710"/>
      <c r="P257" s="710"/>
      <c r="Q257" s="710"/>
      <c r="R257" s="710"/>
      <c r="S257" s="710"/>
      <c r="T257" s="710"/>
      <c r="U257" s="710"/>
      <c r="V257" s="710"/>
      <c r="W257" s="710"/>
      <c r="X257" s="710"/>
      <c r="Y257" s="710"/>
      <c r="Z257" s="710"/>
      <c r="AA257" s="710"/>
      <c r="AB257" s="710"/>
      <c r="AC257" s="710"/>
      <c r="AD257" s="710"/>
      <c r="AE257" s="710"/>
      <c r="AF257" s="710"/>
      <c r="AG257" s="710"/>
      <c r="AH257" s="710"/>
      <c r="AI257" s="710"/>
      <c r="AJ257" s="710"/>
      <c r="AK257" s="710"/>
      <c r="AL257" s="710"/>
      <c r="AM257" s="710"/>
      <c r="AN257" s="710"/>
      <c r="AO257" s="710"/>
      <c r="AP257" s="710"/>
    </row>
    <row r="258" spans="2:42">
      <c r="B258" s="710"/>
      <c r="C258" s="710"/>
      <c r="D258" s="710"/>
      <c r="E258" s="710"/>
      <c r="F258" s="710"/>
      <c r="G258" s="710"/>
      <c r="H258" s="710"/>
      <c r="I258" s="710"/>
      <c r="J258" s="710"/>
      <c r="K258" s="710"/>
      <c r="L258" s="710"/>
      <c r="M258" s="710"/>
      <c r="N258" s="710"/>
      <c r="O258" s="710"/>
      <c r="P258" s="710"/>
      <c r="Q258" s="710"/>
      <c r="R258" s="710"/>
      <c r="S258" s="710"/>
      <c r="T258" s="710"/>
      <c r="U258" s="710"/>
      <c r="V258" s="710"/>
      <c r="W258" s="710"/>
      <c r="X258" s="710"/>
      <c r="Y258" s="710"/>
      <c r="Z258" s="710"/>
      <c r="AA258" s="710"/>
      <c r="AB258" s="710"/>
      <c r="AC258" s="710"/>
      <c r="AD258" s="710"/>
      <c r="AE258" s="710"/>
      <c r="AF258" s="710"/>
      <c r="AG258" s="710"/>
      <c r="AH258" s="710"/>
      <c r="AI258" s="710"/>
      <c r="AJ258" s="710"/>
      <c r="AK258" s="710"/>
      <c r="AL258" s="710"/>
      <c r="AM258" s="710"/>
      <c r="AN258" s="710"/>
      <c r="AO258" s="710"/>
      <c r="AP258" s="710"/>
    </row>
    <row r="259" spans="2:42">
      <c r="B259" s="710"/>
      <c r="C259" s="710"/>
      <c r="D259" s="710"/>
      <c r="E259" s="710"/>
      <c r="F259" s="710"/>
      <c r="G259" s="710"/>
      <c r="H259" s="710"/>
      <c r="I259" s="710"/>
      <c r="J259" s="710"/>
      <c r="K259" s="710"/>
      <c r="L259" s="710"/>
      <c r="M259" s="710"/>
      <c r="N259" s="710"/>
      <c r="O259" s="710"/>
      <c r="P259" s="710"/>
      <c r="Q259" s="710"/>
      <c r="R259" s="710"/>
      <c r="S259" s="710"/>
      <c r="T259" s="710"/>
      <c r="U259" s="710"/>
      <c r="V259" s="710"/>
      <c r="W259" s="710"/>
      <c r="X259" s="710"/>
      <c r="Y259" s="710"/>
      <c r="Z259" s="710"/>
      <c r="AA259" s="710"/>
      <c r="AB259" s="710"/>
      <c r="AC259" s="710"/>
      <c r="AD259" s="710"/>
      <c r="AE259" s="710"/>
      <c r="AF259" s="710"/>
      <c r="AG259" s="710"/>
      <c r="AH259" s="710"/>
      <c r="AI259" s="710"/>
      <c r="AJ259" s="710"/>
      <c r="AK259" s="710"/>
      <c r="AL259" s="710"/>
      <c r="AM259" s="710"/>
      <c r="AN259" s="710"/>
      <c r="AO259" s="710"/>
      <c r="AP259" s="710"/>
    </row>
    <row r="260" spans="2:42">
      <c r="B260" s="710"/>
      <c r="C260" s="710"/>
      <c r="D260" s="710"/>
      <c r="E260" s="710"/>
      <c r="F260" s="710"/>
      <c r="G260" s="710"/>
      <c r="H260" s="710"/>
      <c r="I260" s="710"/>
      <c r="J260" s="710"/>
      <c r="K260" s="710"/>
      <c r="L260" s="710"/>
      <c r="M260" s="710"/>
      <c r="N260" s="710"/>
      <c r="O260" s="710"/>
      <c r="P260" s="710"/>
      <c r="Q260" s="710"/>
      <c r="R260" s="710"/>
      <c r="S260" s="710"/>
      <c r="T260" s="710"/>
      <c r="U260" s="710"/>
      <c r="V260" s="710"/>
      <c r="W260" s="710"/>
      <c r="X260" s="710"/>
      <c r="Y260" s="710"/>
      <c r="Z260" s="710"/>
      <c r="AA260" s="710"/>
      <c r="AB260" s="710"/>
      <c r="AC260" s="710"/>
      <c r="AD260" s="710"/>
      <c r="AE260" s="710"/>
      <c r="AF260" s="710"/>
      <c r="AG260" s="710"/>
      <c r="AH260" s="710"/>
      <c r="AI260" s="710"/>
      <c r="AJ260" s="710"/>
      <c r="AK260" s="710"/>
      <c r="AL260" s="710"/>
      <c r="AM260" s="710"/>
      <c r="AN260" s="710"/>
      <c r="AO260" s="710"/>
      <c r="AP260" s="710"/>
    </row>
    <row r="261" spans="2:42">
      <c r="B261" s="710"/>
      <c r="C261" s="710"/>
      <c r="D261" s="710"/>
      <c r="E261" s="710"/>
      <c r="F261" s="710"/>
      <c r="G261" s="710"/>
      <c r="H261" s="710"/>
      <c r="I261" s="710"/>
      <c r="J261" s="710"/>
      <c r="K261" s="710"/>
      <c r="L261" s="710"/>
      <c r="M261" s="710"/>
      <c r="N261" s="710"/>
      <c r="O261" s="710"/>
      <c r="P261" s="710"/>
      <c r="Q261" s="710"/>
      <c r="R261" s="710"/>
      <c r="S261" s="710"/>
      <c r="T261" s="710"/>
      <c r="U261" s="710"/>
      <c r="V261" s="710"/>
      <c r="W261" s="710"/>
      <c r="X261" s="710"/>
      <c r="Y261" s="710"/>
      <c r="Z261" s="710"/>
      <c r="AA261" s="710"/>
      <c r="AB261" s="710"/>
      <c r="AC261" s="710"/>
      <c r="AD261" s="710"/>
      <c r="AE261" s="710"/>
      <c r="AF261" s="710"/>
      <c r="AG261" s="710"/>
      <c r="AH261" s="710"/>
      <c r="AI261" s="710"/>
      <c r="AJ261" s="710"/>
      <c r="AK261" s="710"/>
      <c r="AL261" s="710"/>
      <c r="AM261" s="710"/>
      <c r="AN261" s="710"/>
      <c r="AO261" s="710"/>
      <c r="AP261" s="710"/>
    </row>
    <row r="262" spans="2:42">
      <c r="B262" s="710"/>
      <c r="C262" s="710"/>
      <c r="D262" s="710"/>
      <c r="E262" s="710"/>
      <c r="F262" s="710"/>
      <c r="G262" s="710"/>
      <c r="H262" s="710"/>
      <c r="I262" s="710"/>
      <c r="J262" s="710"/>
      <c r="K262" s="710"/>
      <c r="L262" s="710"/>
      <c r="M262" s="710"/>
      <c r="N262" s="710"/>
      <c r="O262" s="710"/>
      <c r="P262" s="710"/>
      <c r="Q262" s="710"/>
      <c r="R262" s="710"/>
      <c r="S262" s="710"/>
      <c r="T262" s="710"/>
      <c r="U262" s="710"/>
      <c r="V262" s="710"/>
      <c r="W262" s="710"/>
      <c r="X262" s="710"/>
      <c r="Y262" s="710"/>
      <c r="Z262" s="710"/>
      <c r="AA262" s="710"/>
      <c r="AB262" s="710"/>
      <c r="AC262" s="710"/>
      <c r="AD262" s="710"/>
      <c r="AE262" s="710"/>
      <c r="AF262" s="710"/>
      <c r="AG262" s="710"/>
      <c r="AH262" s="710"/>
      <c r="AI262" s="710"/>
      <c r="AJ262" s="710"/>
      <c r="AK262" s="710"/>
      <c r="AL262" s="710"/>
      <c r="AM262" s="710"/>
      <c r="AN262" s="710"/>
      <c r="AO262" s="710"/>
      <c r="AP262" s="710"/>
    </row>
    <row r="263" spans="2:42">
      <c r="B263" s="710"/>
      <c r="C263" s="710"/>
      <c r="D263" s="710"/>
      <c r="E263" s="710"/>
      <c r="F263" s="710"/>
      <c r="G263" s="710"/>
      <c r="H263" s="710"/>
      <c r="I263" s="710"/>
      <c r="J263" s="710"/>
      <c r="K263" s="710"/>
      <c r="L263" s="710"/>
      <c r="M263" s="710"/>
      <c r="N263" s="710"/>
      <c r="O263" s="710"/>
      <c r="P263" s="710"/>
      <c r="Q263" s="710"/>
      <c r="R263" s="710"/>
      <c r="S263" s="710"/>
      <c r="T263" s="710"/>
      <c r="U263" s="710"/>
      <c r="V263" s="710"/>
      <c r="W263" s="710"/>
      <c r="X263" s="710"/>
      <c r="Y263" s="710"/>
      <c r="Z263" s="710"/>
      <c r="AA263" s="710"/>
      <c r="AB263" s="710"/>
      <c r="AC263" s="710"/>
      <c r="AD263" s="710"/>
      <c r="AE263" s="710"/>
      <c r="AF263" s="710"/>
      <c r="AG263" s="710"/>
      <c r="AH263" s="710"/>
      <c r="AI263" s="710"/>
      <c r="AJ263" s="710"/>
      <c r="AK263" s="710"/>
      <c r="AL263" s="710"/>
      <c r="AM263" s="710"/>
      <c r="AN263" s="710"/>
      <c r="AO263" s="710"/>
      <c r="AP263" s="710"/>
    </row>
    <row r="264" spans="2:42">
      <c r="B264" s="710"/>
      <c r="C264" s="710"/>
      <c r="D264" s="710"/>
      <c r="E264" s="710"/>
      <c r="F264" s="710"/>
      <c r="G264" s="710"/>
      <c r="H264" s="710"/>
      <c r="I264" s="710"/>
      <c r="J264" s="710"/>
      <c r="K264" s="710"/>
      <c r="L264" s="710"/>
      <c r="M264" s="710"/>
      <c r="N264" s="710"/>
      <c r="O264" s="710"/>
      <c r="P264" s="710"/>
      <c r="Q264" s="710"/>
      <c r="R264" s="710"/>
      <c r="S264" s="710"/>
      <c r="T264" s="710"/>
      <c r="U264" s="710"/>
      <c r="V264" s="710"/>
      <c r="W264" s="710"/>
      <c r="X264" s="710"/>
      <c r="Y264" s="710"/>
      <c r="Z264" s="710"/>
      <c r="AA264" s="710"/>
      <c r="AB264" s="710"/>
      <c r="AC264" s="710"/>
      <c r="AD264" s="710"/>
      <c r="AE264" s="710"/>
      <c r="AF264" s="710"/>
      <c r="AG264" s="710"/>
      <c r="AH264" s="710"/>
      <c r="AI264" s="710"/>
      <c r="AJ264" s="710"/>
      <c r="AK264" s="710"/>
      <c r="AL264" s="710"/>
      <c r="AM264" s="710"/>
      <c r="AN264" s="710"/>
      <c r="AO264" s="710"/>
      <c r="AP264" s="710"/>
    </row>
    <row r="265" spans="2:42">
      <c r="B265" s="710"/>
      <c r="C265" s="710"/>
      <c r="D265" s="710"/>
      <c r="E265" s="710"/>
      <c r="F265" s="710"/>
      <c r="G265" s="710"/>
      <c r="H265" s="710"/>
      <c r="I265" s="710"/>
      <c r="J265" s="710"/>
      <c r="K265" s="710"/>
      <c r="L265" s="710"/>
      <c r="M265" s="710"/>
      <c r="N265" s="710"/>
      <c r="O265" s="710"/>
      <c r="P265" s="710"/>
      <c r="Q265" s="710"/>
      <c r="R265" s="710"/>
      <c r="S265" s="710"/>
      <c r="T265" s="710"/>
      <c r="U265" s="710"/>
      <c r="V265" s="710"/>
      <c r="W265" s="710"/>
      <c r="X265" s="710"/>
      <c r="Y265" s="710"/>
      <c r="Z265" s="710"/>
      <c r="AA265" s="710"/>
      <c r="AB265" s="710"/>
      <c r="AC265" s="710"/>
      <c r="AD265" s="710"/>
      <c r="AE265" s="710"/>
      <c r="AF265" s="710"/>
      <c r="AG265" s="710"/>
      <c r="AH265" s="710"/>
      <c r="AI265" s="710"/>
      <c r="AJ265" s="710"/>
      <c r="AK265" s="710"/>
      <c r="AL265" s="710"/>
      <c r="AM265" s="710"/>
      <c r="AN265" s="710"/>
      <c r="AO265" s="710"/>
      <c r="AP265" s="710"/>
    </row>
    <row r="266" spans="2:42">
      <c r="B266" s="710"/>
      <c r="C266" s="710"/>
      <c r="D266" s="710"/>
      <c r="E266" s="710"/>
      <c r="F266" s="710"/>
      <c r="G266" s="710"/>
      <c r="H266" s="710"/>
      <c r="I266" s="710"/>
      <c r="J266" s="710"/>
      <c r="K266" s="710"/>
      <c r="L266" s="710"/>
      <c r="M266" s="710"/>
      <c r="N266" s="710"/>
      <c r="O266" s="710"/>
      <c r="P266" s="710"/>
      <c r="Q266" s="710"/>
      <c r="R266" s="710"/>
      <c r="S266" s="710"/>
      <c r="T266" s="710"/>
      <c r="U266" s="710"/>
      <c r="V266" s="710"/>
      <c r="W266" s="710"/>
      <c r="X266" s="710"/>
      <c r="Y266" s="710"/>
      <c r="Z266" s="710"/>
      <c r="AA266" s="710"/>
      <c r="AB266" s="710"/>
      <c r="AC266" s="710"/>
      <c r="AD266" s="710"/>
      <c r="AE266" s="710"/>
      <c r="AF266" s="710"/>
      <c r="AG266" s="710"/>
      <c r="AH266" s="710"/>
      <c r="AI266" s="710"/>
      <c r="AJ266" s="710"/>
      <c r="AK266" s="710"/>
      <c r="AL266" s="710"/>
      <c r="AM266" s="710"/>
      <c r="AN266" s="710"/>
      <c r="AO266" s="710"/>
      <c r="AP266" s="710"/>
    </row>
    <row r="267" spans="2:42">
      <c r="B267" s="710"/>
      <c r="C267" s="710"/>
      <c r="D267" s="710"/>
      <c r="E267" s="710"/>
      <c r="F267" s="710"/>
      <c r="G267" s="710"/>
      <c r="H267" s="710"/>
      <c r="I267" s="710"/>
      <c r="J267" s="710"/>
      <c r="K267" s="710"/>
      <c r="L267" s="710"/>
      <c r="M267" s="710"/>
      <c r="N267" s="710"/>
      <c r="O267" s="710"/>
      <c r="P267" s="710"/>
      <c r="Q267" s="710"/>
      <c r="R267" s="710"/>
      <c r="S267" s="710"/>
      <c r="T267" s="710"/>
      <c r="U267" s="710"/>
      <c r="V267" s="710"/>
      <c r="W267" s="710"/>
      <c r="X267" s="710"/>
      <c r="Y267" s="710"/>
      <c r="Z267" s="710"/>
      <c r="AA267" s="710"/>
      <c r="AB267" s="710"/>
      <c r="AC267" s="710"/>
      <c r="AD267" s="710"/>
      <c r="AE267" s="710"/>
      <c r="AF267" s="710"/>
      <c r="AG267" s="710"/>
      <c r="AH267" s="710"/>
      <c r="AI267" s="710"/>
      <c r="AJ267" s="710"/>
      <c r="AK267" s="710"/>
      <c r="AL267" s="710"/>
      <c r="AM267" s="710"/>
      <c r="AN267" s="710"/>
      <c r="AO267" s="710"/>
      <c r="AP267" s="710"/>
    </row>
    <row r="268" spans="2:42">
      <c r="B268" s="710"/>
      <c r="C268" s="710"/>
      <c r="D268" s="710"/>
      <c r="E268" s="710"/>
      <c r="F268" s="710"/>
      <c r="G268" s="710"/>
      <c r="H268" s="710"/>
      <c r="I268" s="710"/>
      <c r="J268" s="710"/>
      <c r="K268" s="710"/>
      <c r="L268" s="710"/>
      <c r="M268" s="710"/>
      <c r="N268" s="710"/>
      <c r="O268" s="710"/>
      <c r="P268" s="710"/>
      <c r="Q268" s="710"/>
      <c r="R268" s="710"/>
      <c r="S268" s="710"/>
      <c r="T268" s="710"/>
      <c r="U268" s="710"/>
      <c r="V268" s="710"/>
      <c r="W268" s="710"/>
      <c r="X268" s="710"/>
      <c r="Y268" s="710"/>
      <c r="Z268" s="710"/>
      <c r="AA268" s="710"/>
      <c r="AB268" s="710"/>
      <c r="AC268" s="710"/>
      <c r="AD268" s="710"/>
      <c r="AE268" s="710"/>
      <c r="AF268" s="710"/>
      <c r="AG268" s="710"/>
      <c r="AH268" s="710"/>
      <c r="AI268" s="710"/>
      <c r="AJ268" s="710"/>
      <c r="AK268" s="710"/>
      <c r="AL268" s="710"/>
      <c r="AM268" s="710"/>
      <c r="AN268" s="710"/>
      <c r="AO268" s="710"/>
      <c r="AP268" s="710"/>
    </row>
    <row r="269" spans="2:42">
      <c r="B269" s="710"/>
      <c r="C269" s="710"/>
      <c r="D269" s="710"/>
      <c r="E269" s="710"/>
      <c r="F269" s="710"/>
      <c r="G269" s="710"/>
      <c r="H269" s="710"/>
      <c r="I269" s="710"/>
      <c r="J269" s="710"/>
      <c r="K269" s="710"/>
      <c r="L269" s="710"/>
      <c r="M269" s="710"/>
      <c r="N269" s="710"/>
      <c r="O269" s="710"/>
      <c r="P269" s="710"/>
      <c r="Q269" s="710"/>
      <c r="R269" s="710"/>
      <c r="S269" s="710"/>
      <c r="T269" s="710"/>
      <c r="U269" s="710"/>
      <c r="V269" s="710"/>
      <c r="W269" s="710"/>
      <c r="X269" s="710"/>
      <c r="Y269" s="710"/>
      <c r="Z269" s="710"/>
      <c r="AA269" s="710"/>
      <c r="AB269" s="710"/>
      <c r="AC269" s="710"/>
      <c r="AD269" s="710"/>
      <c r="AE269" s="710"/>
      <c r="AF269" s="710"/>
      <c r="AG269" s="710"/>
      <c r="AH269" s="710"/>
      <c r="AI269" s="710"/>
      <c r="AJ269" s="710"/>
      <c r="AK269" s="710"/>
      <c r="AL269" s="710"/>
      <c r="AM269" s="710"/>
      <c r="AN269" s="710"/>
      <c r="AO269" s="710"/>
      <c r="AP269" s="710"/>
    </row>
    <row r="270" spans="2:42">
      <c r="B270" s="710"/>
      <c r="C270" s="710"/>
      <c r="D270" s="710"/>
      <c r="E270" s="710"/>
      <c r="F270" s="710"/>
      <c r="G270" s="710"/>
      <c r="H270" s="710"/>
      <c r="I270" s="710"/>
      <c r="J270" s="710"/>
      <c r="K270" s="710"/>
      <c r="L270" s="710"/>
      <c r="M270" s="710"/>
      <c r="N270" s="710"/>
      <c r="O270" s="710"/>
      <c r="P270" s="710"/>
      <c r="Q270" s="710"/>
      <c r="R270" s="710"/>
      <c r="S270" s="710"/>
      <c r="T270" s="710"/>
      <c r="U270" s="710"/>
      <c r="V270" s="710"/>
      <c r="W270" s="710"/>
      <c r="X270" s="710"/>
      <c r="Y270" s="710"/>
      <c r="Z270" s="710"/>
      <c r="AA270" s="710"/>
      <c r="AB270" s="710"/>
      <c r="AC270" s="710"/>
      <c r="AD270" s="710"/>
      <c r="AE270" s="710"/>
      <c r="AF270" s="710"/>
      <c r="AG270" s="710"/>
      <c r="AH270" s="710"/>
      <c r="AI270" s="710"/>
      <c r="AJ270" s="710"/>
      <c r="AK270" s="710"/>
      <c r="AL270" s="710"/>
      <c r="AM270" s="710"/>
      <c r="AN270" s="710"/>
      <c r="AO270" s="710"/>
      <c r="AP270" s="710"/>
    </row>
    <row r="271" spans="2:42">
      <c r="B271" s="710"/>
      <c r="C271" s="710"/>
      <c r="D271" s="710"/>
      <c r="E271" s="710"/>
      <c r="F271" s="710"/>
      <c r="G271" s="710"/>
      <c r="H271" s="710"/>
      <c r="I271" s="710"/>
      <c r="J271" s="710"/>
      <c r="K271" s="710"/>
      <c r="L271" s="710"/>
      <c r="M271" s="710"/>
      <c r="N271" s="710"/>
      <c r="O271" s="710"/>
      <c r="P271" s="710"/>
      <c r="Q271" s="710"/>
      <c r="R271" s="710"/>
      <c r="S271" s="710"/>
      <c r="T271" s="710"/>
      <c r="U271" s="710"/>
      <c r="V271" s="710"/>
      <c r="W271" s="710"/>
      <c r="X271" s="710"/>
      <c r="Y271" s="710"/>
      <c r="Z271" s="710"/>
      <c r="AA271" s="710"/>
      <c r="AB271" s="710"/>
      <c r="AC271" s="710"/>
      <c r="AD271" s="710"/>
      <c r="AE271" s="710"/>
      <c r="AF271" s="710"/>
      <c r="AG271" s="710"/>
      <c r="AH271" s="710"/>
      <c r="AI271" s="710"/>
      <c r="AJ271" s="710"/>
      <c r="AK271" s="710"/>
      <c r="AL271" s="710"/>
      <c r="AM271" s="710"/>
      <c r="AN271" s="710"/>
      <c r="AO271" s="710"/>
      <c r="AP271" s="710"/>
    </row>
    <row r="272" spans="2:42">
      <c r="B272" s="710"/>
      <c r="C272" s="710"/>
      <c r="D272" s="710"/>
      <c r="E272" s="710"/>
      <c r="F272" s="710"/>
      <c r="G272" s="710"/>
      <c r="H272" s="710"/>
      <c r="I272" s="710"/>
      <c r="J272" s="710"/>
      <c r="K272" s="710"/>
      <c r="L272" s="710"/>
      <c r="M272" s="710"/>
      <c r="N272" s="710"/>
      <c r="O272" s="710"/>
      <c r="P272" s="710"/>
      <c r="Q272" s="710"/>
      <c r="R272" s="710"/>
      <c r="S272" s="710"/>
      <c r="T272" s="710"/>
      <c r="U272" s="710"/>
      <c r="V272" s="710"/>
      <c r="W272" s="710"/>
      <c r="X272" s="710"/>
      <c r="Y272" s="710"/>
      <c r="Z272" s="710"/>
      <c r="AA272" s="710"/>
      <c r="AB272" s="710"/>
      <c r="AC272" s="710"/>
      <c r="AD272" s="710"/>
      <c r="AE272" s="710"/>
      <c r="AF272" s="710"/>
      <c r="AG272" s="710"/>
      <c r="AH272" s="710"/>
      <c r="AI272" s="710"/>
      <c r="AJ272" s="710"/>
      <c r="AK272" s="710"/>
      <c r="AL272" s="710"/>
      <c r="AM272" s="710"/>
      <c r="AN272" s="710"/>
      <c r="AO272" s="710"/>
      <c r="AP272" s="710"/>
    </row>
    <row r="273" spans="2:42">
      <c r="B273" s="710"/>
      <c r="C273" s="710"/>
      <c r="D273" s="710"/>
      <c r="E273" s="710"/>
      <c r="F273" s="710"/>
      <c r="G273" s="710"/>
      <c r="H273" s="710"/>
      <c r="I273" s="710"/>
      <c r="J273" s="710"/>
      <c r="K273" s="710"/>
      <c r="L273" s="710"/>
      <c r="M273" s="710"/>
      <c r="N273" s="710"/>
      <c r="O273" s="710"/>
      <c r="P273" s="710"/>
      <c r="Q273" s="710"/>
      <c r="R273" s="710"/>
      <c r="S273" s="710"/>
      <c r="T273" s="710"/>
      <c r="U273" s="710"/>
      <c r="V273" s="710"/>
      <c r="W273" s="710"/>
      <c r="X273" s="710"/>
      <c r="Y273" s="710"/>
      <c r="Z273" s="710"/>
      <c r="AA273" s="710"/>
      <c r="AB273" s="710"/>
      <c r="AC273" s="710"/>
      <c r="AD273" s="710"/>
      <c r="AE273" s="710"/>
      <c r="AF273" s="710"/>
      <c r="AG273" s="710"/>
      <c r="AH273" s="710"/>
      <c r="AI273" s="710"/>
      <c r="AJ273" s="710"/>
      <c r="AK273" s="710"/>
      <c r="AL273" s="710"/>
      <c r="AM273" s="710"/>
      <c r="AN273" s="710"/>
      <c r="AO273" s="710"/>
      <c r="AP273" s="710"/>
    </row>
    <row r="274" spans="2:42">
      <c r="B274" s="710"/>
      <c r="C274" s="710"/>
      <c r="D274" s="710"/>
      <c r="E274" s="710"/>
      <c r="F274" s="710"/>
      <c r="G274" s="710"/>
      <c r="H274" s="710"/>
      <c r="I274" s="710"/>
      <c r="J274" s="710"/>
      <c r="K274" s="710"/>
      <c r="L274" s="710"/>
      <c r="M274" s="710"/>
      <c r="N274" s="710"/>
      <c r="O274" s="710"/>
      <c r="P274" s="710"/>
      <c r="Q274" s="710"/>
      <c r="R274" s="710"/>
      <c r="S274" s="710"/>
      <c r="T274" s="710"/>
      <c r="U274" s="710"/>
      <c r="V274" s="710"/>
      <c r="W274" s="710"/>
      <c r="X274" s="710"/>
      <c r="Y274" s="710"/>
      <c r="Z274" s="710"/>
      <c r="AA274" s="710"/>
      <c r="AB274" s="710"/>
      <c r="AC274" s="710"/>
      <c r="AD274" s="710"/>
      <c r="AE274" s="710"/>
      <c r="AF274" s="710"/>
      <c r="AG274" s="710"/>
      <c r="AH274" s="710"/>
      <c r="AI274" s="710"/>
      <c r="AJ274" s="710"/>
      <c r="AK274" s="710"/>
      <c r="AL274" s="710"/>
      <c r="AM274" s="710"/>
      <c r="AN274" s="710"/>
      <c r="AO274" s="710"/>
      <c r="AP274" s="710"/>
    </row>
    <row r="275" spans="2:42">
      <c r="B275" s="710"/>
      <c r="C275" s="710"/>
      <c r="D275" s="710"/>
      <c r="E275" s="710"/>
      <c r="F275" s="710"/>
      <c r="G275" s="710"/>
      <c r="H275" s="710"/>
      <c r="I275" s="710"/>
      <c r="J275" s="710"/>
      <c r="K275" s="710"/>
      <c r="L275" s="710"/>
      <c r="M275" s="710"/>
      <c r="N275" s="710"/>
      <c r="O275" s="710"/>
      <c r="P275" s="710"/>
      <c r="Q275" s="710"/>
      <c r="R275" s="710"/>
      <c r="S275" s="710"/>
      <c r="T275" s="710"/>
      <c r="U275" s="710"/>
      <c r="V275" s="710"/>
      <c r="W275" s="710"/>
      <c r="X275" s="710"/>
      <c r="Y275" s="710"/>
      <c r="Z275" s="710"/>
      <c r="AA275" s="710"/>
      <c r="AB275" s="710"/>
      <c r="AC275" s="710"/>
      <c r="AD275" s="710"/>
      <c r="AE275" s="710"/>
      <c r="AF275" s="710"/>
      <c r="AG275" s="710"/>
      <c r="AH275" s="710"/>
      <c r="AI275" s="710"/>
      <c r="AJ275" s="710"/>
      <c r="AK275" s="710"/>
      <c r="AL275" s="710"/>
      <c r="AM275" s="710"/>
      <c r="AN275" s="710"/>
      <c r="AO275" s="710"/>
      <c r="AP275" s="710"/>
    </row>
    <row r="276" spans="2:42">
      <c r="B276" s="710"/>
      <c r="C276" s="710"/>
      <c r="D276" s="710"/>
      <c r="E276" s="710"/>
      <c r="F276" s="710"/>
      <c r="G276" s="710"/>
      <c r="H276" s="710"/>
      <c r="I276" s="710"/>
      <c r="J276" s="710"/>
      <c r="K276" s="710"/>
      <c r="L276" s="710"/>
      <c r="M276" s="710"/>
      <c r="N276" s="710"/>
      <c r="O276" s="710"/>
      <c r="P276" s="710"/>
      <c r="Q276" s="710"/>
      <c r="R276" s="710"/>
      <c r="S276" s="710"/>
      <c r="T276" s="710"/>
      <c r="U276" s="710"/>
      <c r="V276" s="710"/>
      <c r="W276" s="710"/>
      <c r="X276" s="710"/>
      <c r="Y276" s="710"/>
      <c r="Z276" s="710"/>
      <c r="AA276" s="710"/>
      <c r="AB276" s="710"/>
      <c r="AC276" s="710"/>
      <c r="AD276" s="710"/>
      <c r="AE276" s="710"/>
      <c r="AF276" s="710"/>
      <c r="AG276" s="710"/>
      <c r="AH276" s="710"/>
      <c r="AI276" s="710"/>
      <c r="AJ276" s="710"/>
      <c r="AK276" s="710"/>
      <c r="AL276" s="710"/>
      <c r="AM276" s="710"/>
      <c r="AN276" s="710"/>
      <c r="AO276" s="710"/>
      <c r="AP276" s="710"/>
    </row>
    <row r="277" spans="2:42">
      <c r="B277" s="710"/>
      <c r="C277" s="710"/>
      <c r="D277" s="710"/>
      <c r="E277" s="710"/>
      <c r="F277" s="710"/>
      <c r="G277" s="710"/>
      <c r="H277" s="710"/>
      <c r="I277" s="710"/>
      <c r="J277" s="710"/>
      <c r="K277" s="710"/>
      <c r="L277" s="710"/>
      <c r="M277" s="710"/>
      <c r="N277" s="710"/>
      <c r="O277" s="710"/>
      <c r="P277" s="710"/>
      <c r="Q277" s="710"/>
      <c r="R277" s="710"/>
      <c r="S277" s="710"/>
      <c r="T277" s="710"/>
      <c r="U277" s="710"/>
      <c r="V277" s="710"/>
      <c r="W277" s="710"/>
      <c r="X277" s="710"/>
      <c r="Y277" s="710"/>
      <c r="Z277" s="710"/>
      <c r="AA277" s="710"/>
      <c r="AB277" s="710"/>
      <c r="AC277" s="710"/>
      <c r="AD277" s="710"/>
      <c r="AE277" s="710"/>
      <c r="AF277" s="710"/>
      <c r="AG277" s="710"/>
      <c r="AH277" s="710"/>
      <c r="AI277" s="710"/>
      <c r="AJ277" s="710"/>
      <c r="AK277" s="710"/>
      <c r="AL277" s="710"/>
      <c r="AM277" s="710"/>
      <c r="AN277" s="710"/>
      <c r="AO277" s="710"/>
      <c r="AP277" s="710"/>
    </row>
    <row r="278" spans="2:42">
      <c r="B278" s="710"/>
      <c r="C278" s="710"/>
      <c r="D278" s="710"/>
      <c r="E278" s="710"/>
      <c r="F278" s="710"/>
      <c r="G278" s="710"/>
      <c r="H278" s="710"/>
      <c r="I278" s="710"/>
      <c r="J278" s="710"/>
      <c r="K278" s="710"/>
      <c r="L278" s="710"/>
      <c r="M278" s="710"/>
      <c r="N278" s="710"/>
      <c r="O278" s="710"/>
      <c r="P278" s="710"/>
      <c r="Q278" s="710"/>
      <c r="R278" s="710"/>
      <c r="S278" s="710"/>
      <c r="T278" s="710"/>
      <c r="U278" s="710"/>
      <c r="V278" s="710"/>
      <c r="W278" s="710"/>
      <c r="X278" s="710"/>
      <c r="Y278" s="710"/>
      <c r="Z278" s="710"/>
      <c r="AA278" s="710"/>
      <c r="AB278" s="710"/>
      <c r="AC278" s="710"/>
      <c r="AD278" s="710"/>
      <c r="AE278" s="710"/>
      <c r="AF278" s="710"/>
      <c r="AG278" s="710"/>
      <c r="AH278" s="710"/>
      <c r="AI278" s="710"/>
      <c r="AJ278" s="710"/>
      <c r="AK278" s="710"/>
      <c r="AL278" s="710"/>
      <c r="AM278" s="710"/>
      <c r="AN278" s="710"/>
      <c r="AO278" s="710"/>
      <c r="AP278" s="710"/>
    </row>
    <row r="279" spans="2:42">
      <c r="B279" s="710"/>
      <c r="C279" s="710"/>
      <c r="D279" s="710"/>
      <c r="E279" s="710"/>
      <c r="F279" s="710"/>
      <c r="G279" s="710"/>
      <c r="H279" s="710"/>
      <c r="I279" s="710"/>
      <c r="J279" s="710"/>
      <c r="K279" s="710"/>
      <c r="L279" s="710"/>
      <c r="M279" s="710"/>
      <c r="N279" s="710"/>
      <c r="O279" s="710"/>
      <c r="P279" s="710"/>
      <c r="Q279" s="710"/>
      <c r="R279" s="710"/>
      <c r="S279" s="710"/>
      <c r="T279" s="710"/>
      <c r="U279" s="710"/>
      <c r="V279" s="710"/>
      <c r="W279" s="710"/>
      <c r="X279" s="710"/>
      <c r="Y279" s="710"/>
      <c r="Z279" s="710"/>
      <c r="AA279" s="710"/>
      <c r="AB279" s="710"/>
      <c r="AC279" s="710"/>
      <c r="AD279" s="710"/>
      <c r="AE279" s="710"/>
      <c r="AF279" s="710"/>
      <c r="AG279" s="710"/>
      <c r="AH279" s="710"/>
      <c r="AI279" s="710"/>
      <c r="AJ279" s="710"/>
      <c r="AK279" s="710"/>
      <c r="AL279" s="710"/>
      <c r="AM279" s="710"/>
      <c r="AN279" s="710"/>
      <c r="AO279" s="710"/>
      <c r="AP279" s="710"/>
    </row>
    <row r="280" spans="2:42">
      <c r="B280" s="710"/>
      <c r="C280" s="710"/>
      <c r="D280" s="710"/>
      <c r="E280" s="710"/>
      <c r="F280" s="710"/>
      <c r="G280" s="710"/>
      <c r="H280" s="710"/>
      <c r="I280" s="710"/>
      <c r="J280" s="710"/>
      <c r="K280" s="710"/>
      <c r="L280" s="710"/>
      <c r="M280" s="710"/>
      <c r="N280" s="710"/>
      <c r="O280" s="710"/>
      <c r="P280" s="710"/>
      <c r="Q280" s="710"/>
      <c r="R280" s="710"/>
      <c r="S280" s="710"/>
      <c r="T280" s="710"/>
      <c r="U280" s="710"/>
      <c r="V280" s="710"/>
      <c r="W280" s="710"/>
      <c r="X280" s="710"/>
      <c r="Y280" s="710"/>
      <c r="Z280" s="710"/>
      <c r="AA280" s="710"/>
      <c r="AB280" s="710"/>
      <c r="AC280" s="710"/>
      <c r="AD280" s="710"/>
      <c r="AE280" s="710"/>
      <c r="AF280" s="710"/>
      <c r="AG280" s="710"/>
      <c r="AH280" s="710"/>
      <c r="AI280" s="710"/>
      <c r="AJ280" s="710"/>
      <c r="AK280" s="710"/>
      <c r="AL280" s="710"/>
      <c r="AM280" s="710"/>
      <c r="AN280" s="710"/>
      <c r="AO280" s="710"/>
      <c r="AP280" s="710"/>
    </row>
    <row r="281" spans="2:42">
      <c r="B281" s="710"/>
      <c r="C281" s="710"/>
      <c r="D281" s="710"/>
      <c r="E281" s="710"/>
      <c r="F281" s="710"/>
      <c r="G281" s="710"/>
      <c r="H281" s="710"/>
      <c r="I281" s="710"/>
      <c r="J281" s="710"/>
      <c r="K281" s="710"/>
      <c r="L281" s="710"/>
      <c r="M281" s="710"/>
      <c r="N281" s="710"/>
      <c r="O281" s="710"/>
      <c r="P281" s="710"/>
      <c r="Q281" s="710"/>
      <c r="R281" s="710"/>
      <c r="S281" s="710"/>
      <c r="T281" s="710"/>
      <c r="U281" s="710"/>
      <c r="V281" s="710"/>
      <c r="W281" s="710"/>
      <c r="X281" s="710"/>
      <c r="Y281" s="710"/>
      <c r="Z281" s="710"/>
      <c r="AA281" s="710"/>
      <c r="AB281" s="710"/>
      <c r="AC281" s="710"/>
      <c r="AD281" s="710"/>
      <c r="AE281" s="710"/>
      <c r="AF281" s="710"/>
      <c r="AG281" s="710"/>
      <c r="AH281" s="710"/>
      <c r="AI281" s="710"/>
      <c r="AJ281" s="710"/>
      <c r="AK281" s="710"/>
      <c r="AL281" s="710"/>
      <c r="AM281" s="710"/>
      <c r="AN281" s="710"/>
      <c r="AO281" s="710"/>
      <c r="AP281" s="710"/>
    </row>
    <row r="282" spans="2:42">
      <c r="B282" s="710"/>
      <c r="C282" s="710"/>
      <c r="D282" s="710"/>
      <c r="E282" s="710"/>
      <c r="F282" s="710"/>
      <c r="G282" s="710"/>
      <c r="H282" s="710"/>
      <c r="I282" s="710"/>
      <c r="J282" s="710"/>
      <c r="K282" s="710"/>
      <c r="L282" s="710"/>
      <c r="M282" s="710"/>
      <c r="N282" s="710"/>
      <c r="O282" s="710"/>
      <c r="P282" s="710"/>
      <c r="Q282" s="710"/>
      <c r="R282" s="710"/>
      <c r="S282" s="710"/>
      <c r="T282" s="710"/>
      <c r="U282" s="710"/>
      <c r="V282" s="710"/>
      <c r="W282" s="710"/>
      <c r="X282" s="710"/>
      <c r="Y282" s="710"/>
      <c r="Z282" s="710"/>
      <c r="AA282" s="710"/>
      <c r="AB282" s="710"/>
      <c r="AC282" s="710"/>
      <c r="AD282" s="710"/>
      <c r="AE282" s="710"/>
      <c r="AF282" s="710"/>
      <c r="AG282" s="710"/>
      <c r="AH282" s="710"/>
      <c r="AI282" s="710"/>
      <c r="AJ282" s="710"/>
      <c r="AK282" s="710"/>
      <c r="AL282" s="710"/>
      <c r="AM282" s="710"/>
      <c r="AN282" s="710"/>
      <c r="AO282" s="710"/>
      <c r="AP282" s="710"/>
    </row>
    <row r="283" spans="2:42">
      <c r="B283" s="710"/>
      <c r="C283" s="710"/>
      <c r="D283" s="710"/>
      <c r="E283" s="710"/>
      <c r="F283" s="710"/>
      <c r="G283" s="710"/>
      <c r="H283" s="710"/>
      <c r="I283" s="710"/>
      <c r="J283" s="710"/>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row>
    <row r="284" spans="2:42">
      <c r="B284" s="710"/>
      <c r="C284" s="710"/>
      <c r="D284" s="710"/>
      <c r="E284" s="710"/>
      <c r="F284" s="710"/>
      <c r="G284" s="710"/>
      <c r="H284" s="710"/>
      <c r="I284" s="710"/>
      <c r="J284" s="710"/>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row>
    <row r="285" spans="2:42">
      <c r="B285" s="710"/>
      <c r="C285" s="710"/>
      <c r="D285" s="710"/>
      <c r="E285" s="710"/>
      <c r="F285" s="710"/>
      <c r="G285" s="710"/>
      <c r="H285" s="710"/>
      <c r="I285" s="710"/>
      <c r="J285" s="710"/>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row>
    <row r="286" spans="2:42">
      <c r="B286" s="710"/>
      <c r="C286" s="710"/>
      <c r="D286" s="710"/>
      <c r="E286" s="710"/>
      <c r="F286" s="710"/>
      <c r="G286" s="710"/>
      <c r="H286" s="710"/>
      <c r="I286" s="710"/>
      <c r="J286" s="710"/>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row>
    <row r="287" spans="2:42">
      <c r="B287" s="710"/>
      <c r="C287" s="710"/>
      <c r="D287" s="710"/>
      <c r="E287" s="710"/>
      <c r="F287" s="710"/>
      <c r="G287" s="710"/>
      <c r="H287" s="710"/>
      <c r="I287" s="710"/>
      <c r="J287" s="710"/>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row>
    <row r="288" spans="2:42">
      <c r="B288" s="710"/>
      <c r="C288" s="710"/>
      <c r="D288" s="710"/>
      <c r="E288" s="710"/>
      <c r="F288" s="710"/>
      <c r="G288" s="710"/>
      <c r="H288" s="710"/>
      <c r="I288" s="710"/>
      <c r="J288" s="710"/>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row>
    <row r="289" spans="2:42">
      <c r="B289" s="710"/>
      <c r="C289" s="710"/>
      <c r="D289" s="710"/>
      <c r="E289" s="710"/>
      <c r="F289" s="710"/>
      <c r="G289" s="710"/>
      <c r="H289" s="710"/>
      <c r="I289" s="710"/>
      <c r="J289" s="710"/>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row>
    <row r="290" spans="2:42">
      <c r="B290" s="710"/>
      <c r="C290" s="710"/>
      <c r="D290" s="710"/>
      <c r="E290" s="710"/>
      <c r="F290" s="710"/>
      <c r="G290" s="710"/>
      <c r="H290" s="710"/>
      <c r="I290" s="710"/>
      <c r="J290" s="710"/>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row>
    <row r="291" spans="2:42">
      <c r="B291" s="710"/>
      <c r="C291" s="710"/>
      <c r="D291" s="710"/>
      <c r="E291" s="710"/>
      <c r="F291" s="710"/>
      <c r="G291" s="710"/>
      <c r="H291" s="710"/>
      <c r="I291" s="710"/>
      <c r="J291" s="710"/>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row>
    <row r="292" spans="2:42">
      <c r="B292" s="710"/>
      <c r="C292" s="710"/>
      <c r="D292" s="710"/>
      <c r="E292" s="710"/>
      <c r="F292" s="710"/>
      <c r="G292" s="710"/>
      <c r="H292" s="710"/>
      <c r="I292" s="710"/>
      <c r="J292" s="710"/>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row>
    <row r="293" spans="2:42">
      <c r="B293" s="710"/>
      <c r="C293" s="710"/>
      <c r="D293" s="710"/>
      <c r="E293" s="710"/>
      <c r="F293" s="710"/>
      <c r="G293" s="710"/>
      <c r="H293" s="710"/>
      <c r="I293" s="710"/>
      <c r="J293" s="710"/>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row>
    <row r="294" spans="2:42">
      <c r="B294" s="710"/>
      <c r="C294" s="710"/>
      <c r="D294" s="710"/>
      <c r="E294" s="710"/>
      <c r="F294" s="710"/>
      <c r="G294" s="710"/>
      <c r="H294" s="710"/>
      <c r="I294" s="710"/>
      <c r="J294" s="710"/>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row>
    <row r="295" spans="2:42">
      <c r="B295" s="710"/>
      <c r="C295" s="710"/>
      <c r="D295" s="710"/>
      <c r="E295" s="710"/>
      <c r="F295" s="710"/>
      <c r="G295" s="710"/>
      <c r="H295" s="710"/>
      <c r="I295" s="710"/>
      <c r="J295" s="710"/>
      <c r="K295" s="710"/>
      <c r="L295" s="710"/>
      <c r="M295" s="710"/>
      <c r="N295" s="710"/>
      <c r="O295" s="710"/>
      <c r="P295" s="710"/>
      <c r="Q295" s="710"/>
      <c r="R295" s="710"/>
      <c r="S295" s="710"/>
      <c r="T295" s="710"/>
      <c r="U295" s="710"/>
      <c r="V295" s="710"/>
      <c r="W295" s="710"/>
      <c r="X295" s="710"/>
      <c r="Y295" s="710"/>
      <c r="Z295" s="710"/>
      <c r="AA295" s="710"/>
      <c r="AB295" s="710"/>
      <c r="AC295" s="710"/>
      <c r="AD295" s="710"/>
      <c r="AE295" s="710"/>
      <c r="AF295" s="710"/>
      <c r="AG295" s="710"/>
      <c r="AH295" s="710"/>
      <c r="AI295" s="710"/>
      <c r="AJ295" s="710"/>
      <c r="AK295" s="710"/>
      <c r="AL295" s="710"/>
      <c r="AM295" s="710"/>
      <c r="AN295" s="710"/>
      <c r="AO295" s="710"/>
      <c r="AP295" s="710"/>
    </row>
    <row r="296" spans="2:42">
      <c r="B296" s="710"/>
      <c r="C296" s="710"/>
      <c r="D296" s="710"/>
      <c r="E296" s="710"/>
      <c r="F296" s="710"/>
      <c r="G296" s="710"/>
      <c r="H296" s="710"/>
      <c r="I296" s="710"/>
      <c r="J296" s="710"/>
      <c r="K296" s="710"/>
      <c r="L296" s="710"/>
      <c r="M296" s="710"/>
      <c r="N296" s="710"/>
      <c r="O296" s="710"/>
      <c r="P296" s="710"/>
      <c r="Q296" s="710"/>
      <c r="R296" s="710"/>
      <c r="S296" s="710"/>
      <c r="T296" s="710"/>
      <c r="U296" s="710"/>
      <c r="V296" s="710"/>
      <c r="W296" s="710"/>
      <c r="X296" s="710"/>
      <c r="Y296" s="710"/>
      <c r="Z296" s="710"/>
      <c r="AA296" s="710"/>
      <c r="AB296" s="710"/>
      <c r="AC296" s="710"/>
      <c r="AD296" s="710"/>
      <c r="AE296" s="710"/>
      <c r="AF296" s="710"/>
      <c r="AG296" s="710"/>
      <c r="AH296" s="710"/>
      <c r="AI296" s="710"/>
      <c r="AJ296" s="710"/>
      <c r="AK296" s="710"/>
      <c r="AL296" s="710"/>
      <c r="AM296" s="710"/>
      <c r="AN296" s="710"/>
      <c r="AO296" s="710"/>
      <c r="AP296" s="710"/>
    </row>
    <row r="297" spans="2:42">
      <c r="B297" s="710"/>
      <c r="C297" s="710"/>
      <c r="D297" s="710"/>
      <c r="E297" s="710"/>
      <c r="F297" s="710"/>
      <c r="G297" s="710"/>
      <c r="H297" s="710"/>
      <c r="I297" s="710"/>
      <c r="J297" s="710"/>
      <c r="K297" s="710"/>
      <c r="L297" s="710"/>
      <c r="M297" s="710"/>
      <c r="N297" s="710"/>
      <c r="O297" s="710"/>
      <c r="P297" s="710"/>
      <c r="Q297" s="710"/>
      <c r="R297" s="710"/>
      <c r="S297" s="710"/>
      <c r="T297" s="710"/>
      <c r="U297" s="710"/>
      <c r="V297" s="710"/>
      <c r="W297" s="710"/>
      <c r="X297" s="710"/>
      <c r="Y297" s="710"/>
      <c r="Z297" s="710"/>
      <c r="AA297" s="710"/>
      <c r="AB297" s="710"/>
      <c r="AC297" s="710"/>
      <c r="AD297" s="710"/>
      <c r="AE297" s="710"/>
      <c r="AF297" s="710"/>
      <c r="AG297" s="710"/>
      <c r="AH297" s="710"/>
      <c r="AI297" s="710"/>
      <c r="AJ297" s="710"/>
      <c r="AK297" s="710"/>
      <c r="AL297" s="710"/>
      <c r="AM297" s="710"/>
      <c r="AN297" s="710"/>
      <c r="AO297" s="710"/>
      <c r="AP297" s="710"/>
    </row>
    <row r="298" spans="2:42">
      <c r="B298" s="710"/>
      <c r="C298" s="710"/>
      <c r="D298" s="710"/>
      <c r="E298" s="710"/>
      <c r="F298" s="710"/>
      <c r="G298" s="710"/>
      <c r="H298" s="710"/>
      <c r="I298" s="710"/>
      <c r="J298" s="710"/>
      <c r="K298" s="710"/>
      <c r="L298" s="710"/>
      <c r="M298" s="710"/>
      <c r="N298" s="710"/>
      <c r="O298" s="710"/>
      <c r="P298" s="710"/>
      <c r="Q298" s="710"/>
      <c r="R298" s="710"/>
      <c r="S298" s="710"/>
      <c r="T298" s="710"/>
      <c r="U298" s="710"/>
      <c r="V298" s="710"/>
      <c r="W298" s="710"/>
      <c r="X298" s="710"/>
      <c r="Y298" s="710"/>
      <c r="Z298" s="710"/>
      <c r="AA298" s="710"/>
      <c r="AB298" s="710"/>
      <c r="AC298" s="710"/>
      <c r="AD298" s="710"/>
      <c r="AE298" s="710"/>
      <c r="AF298" s="710"/>
      <c r="AG298" s="710"/>
      <c r="AH298" s="710"/>
      <c r="AI298" s="710"/>
      <c r="AJ298" s="710"/>
      <c r="AK298" s="710"/>
      <c r="AL298" s="710"/>
      <c r="AM298" s="710"/>
      <c r="AN298" s="710"/>
      <c r="AO298" s="710"/>
      <c r="AP298" s="710"/>
    </row>
    <row r="299" spans="2:42">
      <c r="B299" s="710"/>
      <c r="C299" s="710"/>
      <c r="D299" s="710"/>
      <c r="E299" s="710"/>
      <c r="F299" s="710"/>
      <c r="G299" s="710"/>
      <c r="H299" s="710"/>
      <c r="I299" s="710"/>
      <c r="J299" s="710"/>
      <c r="K299" s="710"/>
      <c r="L299" s="710"/>
      <c r="M299" s="710"/>
      <c r="N299" s="710"/>
      <c r="O299" s="710"/>
      <c r="P299" s="710"/>
      <c r="Q299" s="710"/>
      <c r="R299" s="710"/>
      <c r="S299" s="710"/>
      <c r="T299" s="710"/>
      <c r="U299" s="710"/>
      <c r="V299" s="710"/>
      <c r="W299" s="710"/>
      <c r="X299" s="710"/>
      <c r="Y299" s="710"/>
      <c r="Z299" s="710"/>
      <c r="AA299" s="710"/>
      <c r="AB299" s="710"/>
      <c r="AC299" s="710"/>
      <c r="AD299" s="710"/>
      <c r="AE299" s="710"/>
      <c r="AF299" s="710"/>
      <c r="AG299" s="710"/>
      <c r="AH299" s="710"/>
      <c r="AI299" s="710"/>
      <c r="AJ299" s="710"/>
      <c r="AK299" s="710"/>
      <c r="AL299" s="710"/>
      <c r="AM299" s="710"/>
      <c r="AN299" s="710"/>
      <c r="AO299" s="710"/>
      <c r="AP299" s="710"/>
    </row>
    <row r="300" spans="2:42">
      <c r="B300" s="710"/>
      <c r="C300" s="710"/>
      <c r="D300" s="710"/>
      <c r="E300" s="710"/>
      <c r="F300" s="710"/>
      <c r="G300" s="710"/>
      <c r="H300" s="710"/>
      <c r="I300" s="710"/>
      <c r="J300" s="710"/>
      <c r="K300" s="710"/>
      <c r="L300" s="710"/>
      <c r="M300" s="710"/>
      <c r="N300" s="710"/>
      <c r="O300" s="710"/>
      <c r="P300" s="710"/>
      <c r="Q300" s="710"/>
      <c r="R300" s="710"/>
      <c r="S300" s="710"/>
      <c r="T300" s="710"/>
      <c r="U300" s="710"/>
      <c r="V300" s="710"/>
      <c r="W300" s="710"/>
      <c r="X300" s="710"/>
      <c r="Y300" s="710"/>
      <c r="Z300" s="710"/>
      <c r="AA300" s="710"/>
      <c r="AB300" s="710"/>
      <c r="AC300" s="710"/>
      <c r="AD300" s="710"/>
      <c r="AE300" s="710"/>
      <c r="AF300" s="710"/>
      <c r="AG300" s="710"/>
      <c r="AH300" s="710"/>
      <c r="AI300" s="710"/>
      <c r="AJ300" s="710"/>
      <c r="AK300" s="710"/>
      <c r="AL300" s="710"/>
      <c r="AM300" s="710"/>
      <c r="AN300" s="710"/>
      <c r="AO300" s="710"/>
      <c r="AP300" s="710"/>
    </row>
    <row r="301" spans="2:42">
      <c r="B301" s="710"/>
      <c r="C301" s="710"/>
      <c r="D301" s="710"/>
      <c r="E301" s="710"/>
      <c r="F301" s="710"/>
      <c r="G301" s="710"/>
      <c r="H301" s="710"/>
      <c r="I301" s="710"/>
      <c r="J301" s="710"/>
      <c r="K301" s="710"/>
      <c r="L301" s="710"/>
      <c r="M301" s="710"/>
      <c r="N301" s="710"/>
      <c r="O301" s="710"/>
      <c r="P301" s="710"/>
      <c r="Q301" s="710"/>
      <c r="R301" s="710"/>
      <c r="S301" s="710"/>
      <c r="T301" s="710"/>
      <c r="U301" s="710"/>
      <c r="V301" s="710"/>
      <c r="W301" s="710"/>
      <c r="X301" s="710"/>
      <c r="Y301" s="710"/>
      <c r="Z301" s="710"/>
      <c r="AA301" s="710"/>
      <c r="AB301" s="710"/>
      <c r="AC301" s="710"/>
      <c r="AD301" s="710"/>
      <c r="AE301" s="710"/>
      <c r="AF301" s="710"/>
      <c r="AG301" s="710"/>
      <c r="AH301" s="710"/>
      <c r="AI301" s="710"/>
      <c r="AJ301" s="710"/>
      <c r="AK301" s="710"/>
      <c r="AL301" s="710"/>
      <c r="AM301" s="710"/>
      <c r="AN301" s="710"/>
      <c r="AO301" s="710"/>
      <c r="AP301" s="710"/>
    </row>
    <row r="302" spans="2:42">
      <c r="B302" s="710"/>
      <c r="C302" s="710"/>
      <c r="D302" s="710"/>
      <c r="E302" s="710"/>
      <c r="F302" s="710"/>
      <c r="G302" s="710"/>
      <c r="H302" s="710"/>
      <c r="I302" s="710"/>
      <c r="J302" s="710"/>
      <c r="K302" s="710"/>
      <c r="L302" s="710"/>
      <c r="M302" s="710"/>
      <c r="N302" s="710"/>
      <c r="O302" s="710"/>
      <c r="P302" s="710"/>
      <c r="Q302" s="710"/>
      <c r="R302" s="710"/>
      <c r="S302" s="710"/>
      <c r="T302" s="710"/>
      <c r="U302" s="710"/>
      <c r="V302" s="710"/>
      <c r="W302" s="710"/>
      <c r="X302" s="710"/>
      <c r="Y302" s="710"/>
      <c r="Z302" s="710"/>
      <c r="AA302" s="710"/>
      <c r="AB302" s="710"/>
      <c r="AC302" s="710"/>
      <c r="AD302" s="710"/>
      <c r="AE302" s="710"/>
      <c r="AF302" s="710"/>
      <c r="AG302" s="710"/>
      <c r="AH302" s="710"/>
      <c r="AI302" s="710"/>
      <c r="AJ302" s="710"/>
      <c r="AK302" s="710"/>
      <c r="AL302" s="710"/>
      <c r="AM302" s="710"/>
      <c r="AN302" s="710"/>
      <c r="AO302" s="710"/>
      <c r="AP302" s="710"/>
    </row>
    <row r="303" spans="2:42">
      <c r="B303" s="710"/>
      <c r="C303" s="710"/>
      <c r="D303" s="710"/>
      <c r="E303" s="710"/>
      <c r="F303" s="710"/>
      <c r="G303" s="710"/>
      <c r="H303" s="710"/>
      <c r="I303" s="710"/>
      <c r="J303" s="710"/>
      <c r="K303" s="710"/>
      <c r="L303" s="710"/>
      <c r="M303" s="710"/>
      <c r="N303" s="710"/>
      <c r="O303" s="710"/>
      <c r="P303" s="710"/>
      <c r="Q303" s="710"/>
      <c r="R303" s="710"/>
      <c r="S303" s="710"/>
      <c r="T303" s="710"/>
      <c r="U303" s="710"/>
      <c r="V303" s="710"/>
      <c r="W303" s="710"/>
      <c r="X303" s="710"/>
      <c r="Y303" s="710"/>
      <c r="Z303" s="710"/>
      <c r="AA303" s="710"/>
      <c r="AB303" s="710"/>
      <c r="AC303" s="710"/>
      <c r="AD303" s="710"/>
      <c r="AE303" s="710"/>
      <c r="AF303" s="710"/>
      <c r="AG303" s="710"/>
      <c r="AH303" s="710"/>
      <c r="AI303" s="710"/>
      <c r="AJ303" s="710"/>
      <c r="AK303" s="710"/>
      <c r="AL303" s="710"/>
      <c r="AM303" s="710"/>
      <c r="AN303" s="710"/>
      <c r="AO303" s="710"/>
      <c r="AP303" s="710"/>
    </row>
    <row r="304" spans="2:42">
      <c r="B304" s="710"/>
      <c r="C304" s="710"/>
      <c r="D304" s="710"/>
      <c r="E304" s="710"/>
      <c r="F304" s="710"/>
      <c r="G304" s="710"/>
      <c r="H304" s="710"/>
      <c r="I304" s="710"/>
      <c r="J304" s="710"/>
      <c r="K304" s="710"/>
      <c r="L304" s="710"/>
      <c r="M304" s="710"/>
      <c r="N304" s="710"/>
      <c r="O304" s="710"/>
      <c r="P304" s="710"/>
      <c r="Q304" s="710"/>
      <c r="R304" s="710"/>
      <c r="S304" s="710"/>
      <c r="T304" s="710"/>
      <c r="U304" s="710"/>
      <c r="V304" s="710"/>
      <c r="W304" s="710"/>
      <c r="X304" s="710"/>
      <c r="Y304" s="710"/>
      <c r="Z304" s="710"/>
      <c r="AA304" s="710"/>
      <c r="AB304" s="710"/>
      <c r="AC304" s="710"/>
      <c r="AD304" s="710"/>
      <c r="AE304" s="710"/>
      <c r="AF304" s="710"/>
      <c r="AG304" s="710"/>
      <c r="AH304" s="710"/>
      <c r="AI304" s="710"/>
      <c r="AJ304" s="710"/>
      <c r="AK304" s="710"/>
      <c r="AL304" s="710"/>
      <c r="AM304" s="710"/>
      <c r="AN304" s="710"/>
      <c r="AO304" s="710"/>
      <c r="AP304" s="710"/>
    </row>
    <row r="305" spans="2:42">
      <c r="B305" s="710"/>
      <c r="C305" s="710"/>
      <c r="D305" s="710"/>
      <c r="E305" s="710"/>
      <c r="F305" s="710"/>
      <c r="G305" s="710"/>
      <c r="H305" s="710"/>
      <c r="I305" s="710"/>
      <c r="J305" s="710"/>
      <c r="K305" s="710"/>
      <c r="L305" s="710"/>
      <c r="M305" s="710"/>
      <c r="N305" s="710"/>
      <c r="O305" s="710"/>
      <c r="P305" s="710"/>
      <c r="Q305" s="710"/>
      <c r="R305" s="710"/>
      <c r="S305" s="710"/>
      <c r="T305" s="710"/>
      <c r="U305" s="710"/>
      <c r="V305" s="710"/>
      <c r="W305" s="710"/>
      <c r="X305" s="710"/>
      <c r="Y305" s="710"/>
      <c r="Z305" s="710"/>
      <c r="AA305" s="710"/>
      <c r="AB305" s="710"/>
      <c r="AC305" s="710"/>
      <c r="AD305" s="710"/>
      <c r="AE305" s="710"/>
      <c r="AF305" s="710"/>
      <c r="AG305" s="710"/>
      <c r="AH305" s="710"/>
      <c r="AI305" s="710"/>
      <c r="AJ305" s="710"/>
      <c r="AK305" s="710"/>
      <c r="AL305" s="710"/>
      <c r="AM305" s="710"/>
      <c r="AN305" s="710"/>
      <c r="AO305" s="710"/>
      <c r="AP305" s="710"/>
    </row>
    <row r="306" spans="2:42">
      <c r="B306" s="710"/>
      <c r="C306" s="710"/>
      <c r="D306" s="710"/>
      <c r="E306" s="710"/>
      <c r="F306" s="710"/>
      <c r="G306" s="710"/>
      <c r="H306" s="710"/>
      <c r="I306" s="710"/>
      <c r="J306" s="710"/>
      <c r="K306" s="710"/>
      <c r="L306" s="710"/>
      <c r="M306" s="710"/>
      <c r="N306" s="710"/>
      <c r="O306" s="710"/>
      <c r="P306" s="710"/>
      <c r="Q306" s="710"/>
      <c r="R306" s="710"/>
      <c r="S306" s="710"/>
      <c r="T306" s="710"/>
      <c r="U306" s="710"/>
      <c r="V306" s="710"/>
      <c r="W306" s="710"/>
      <c r="X306" s="710"/>
      <c r="Y306" s="710"/>
      <c r="Z306" s="710"/>
      <c r="AA306" s="710"/>
      <c r="AB306" s="710"/>
      <c r="AC306" s="710"/>
      <c r="AD306" s="710"/>
      <c r="AE306" s="710"/>
      <c r="AF306" s="710"/>
      <c r="AG306" s="710"/>
      <c r="AH306" s="710"/>
      <c r="AI306" s="710"/>
      <c r="AJ306" s="710"/>
      <c r="AK306" s="710"/>
      <c r="AL306" s="710"/>
      <c r="AM306" s="710"/>
      <c r="AN306" s="710"/>
      <c r="AO306" s="710"/>
      <c r="AP306" s="710"/>
    </row>
    <row r="307" spans="2:42">
      <c r="B307" s="710"/>
      <c r="C307" s="710"/>
      <c r="D307" s="710"/>
      <c r="E307" s="710"/>
      <c r="F307" s="710"/>
      <c r="G307" s="710"/>
      <c r="H307" s="710"/>
      <c r="I307" s="710"/>
      <c r="J307" s="710"/>
      <c r="K307" s="710"/>
      <c r="L307" s="710"/>
      <c r="M307" s="710"/>
      <c r="N307" s="710"/>
      <c r="O307" s="710"/>
      <c r="P307" s="710"/>
      <c r="Q307" s="710"/>
      <c r="R307" s="710"/>
      <c r="S307" s="710"/>
      <c r="T307" s="710"/>
      <c r="U307" s="710"/>
      <c r="V307" s="710"/>
      <c r="W307" s="710"/>
      <c r="X307" s="710"/>
      <c r="Y307" s="710"/>
      <c r="Z307" s="710"/>
      <c r="AA307" s="710"/>
      <c r="AB307" s="710"/>
      <c r="AC307" s="710"/>
      <c r="AD307" s="710"/>
      <c r="AE307" s="710"/>
      <c r="AF307" s="710"/>
      <c r="AG307" s="710"/>
      <c r="AH307" s="710"/>
      <c r="AI307" s="710"/>
      <c r="AJ307" s="710"/>
      <c r="AK307" s="710"/>
      <c r="AL307" s="710"/>
      <c r="AM307" s="710"/>
      <c r="AN307" s="710"/>
      <c r="AO307" s="710"/>
      <c r="AP307" s="710"/>
    </row>
    <row r="308" spans="2:42">
      <c r="B308" s="710"/>
      <c r="C308" s="710"/>
      <c r="D308" s="710"/>
      <c r="E308" s="710"/>
      <c r="F308" s="710"/>
      <c r="G308" s="710"/>
      <c r="H308" s="710"/>
      <c r="I308" s="710"/>
      <c r="J308" s="710"/>
      <c r="K308" s="710"/>
      <c r="L308" s="710"/>
      <c r="M308" s="710"/>
      <c r="N308" s="710"/>
      <c r="O308" s="710"/>
      <c r="P308" s="710"/>
      <c r="Q308" s="710"/>
      <c r="R308" s="710"/>
      <c r="S308" s="710"/>
      <c r="T308" s="710"/>
      <c r="U308" s="710"/>
      <c r="V308" s="710"/>
      <c r="W308" s="710"/>
      <c r="X308" s="710"/>
      <c r="Y308" s="710"/>
      <c r="Z308" s="710"/>
      <c r="AA308" s="710"/>
      <c r="AB308" s="710"/>
      <c r="AC308" s="710"/>
      <c r="AD308" s="710"/>
      <c r="AE308" s="710"/>
      <c r="AF308" s="710"/>
      <c r="AG308" s="710"/>
      <c r="AH308" s="710"/>
      <c r="AI308" s="710"/>
      <c r="AJ308" s="710"/>
      <c r="AK308" s="710"/>
      <c r="AL308" s="710"/>
      <c r="AM308" s="710"/>
      <c r="AN308" s="710"/>
      <c r="AO308" s="710"/>
      <c r="AP308" s="710"/>
    </row>
    <row r="309" spans="2:42">
      <c r="B309" s="710"/>
      <c r="C309" s="710"/>
      <c r="D309" s="710"/>
      <c r="E309" s="710"/>
      <c r="F309" s="710"/>
      <c r="G309" s="710"/>
      <c r="H309" s="710"/>
      <c r="I309" s="710"/>
      <c r="J309" s="710"/>
      <c r="K309" s="710"/>
      <c r="L309" s="710"/>
      <c r="M309" s="710"/>
      <c r="N309" s="710"/>
      <c r="O309" s="710"/>
      <c r="P309" s="710"/>
      <c r="Q309" s="710"/>
      <c r="R309" s="710"/>
      <c r="S309" s="710"/>
      <c r="T309" s="710"/>
      <c r="U309" s="710"/>
      <c r="V309" s="710"/>
      <c r="W309" s="710"/>
      <c r="X309" s="710"/>
      <c r="Y309" s="710"/>
      <c r="Z309" s="710"/>
      <c r="AA309" s="710"/>
      <c r="AB309" s="710"/>
      <c r="AC309" s="710"/>
      <c r="AD309" s="710"/>
      <c r="AE309" s="710"/>
      <c r="AF309" s="710"/>
      <c r="AG309" s="710"/>
      <c r="AH309" s="710"/>
      <c r="AI309" s="710"/>
      <c r="AJ309" s="710"/>
      <c r="AK309" s="710"/>
      <c r="AL309" s="710"/>
      <c r="AM309" s="710"/>
      <c r="AN309" s="710"/>
      <c r="AO309" s="710"/>
      <c r="AP309" s="710"/>
    </row>
    <row r="310" spans="2:42">
      <c r="B310" s="710"/>
      <c r="C310" s="710"/>
      <c r="D310" s="710"/>
      <c r="E310" s="710"/>
      <c r="F310" s="710"/>
      <c r="G310" s="710"/>
      <c r="H310" s="710"/>
      <c r="I310" s="710"/>
      <c r="J310" s="710"/>
      <c r="K310" s="710"/>
      <c r="L310" s="710"/>
      <c r="M310" s="710"/>
      <c r="N310" s="710"/>
      <c r="O310" s="710"/>
      <c r="P310" s="710"/>
      <c r="Q310" s="710"/>
      <c r="R310" s="710"/>
      <c r="S310" s="710"/>
      <c r="T310" s="710"/>
      <c r="U310" s="710"/>
      <c r="V310" s="710"/>
      <c r="W310" s="710"/>
      <c r="X310" s="710"/>
      <c r="Y310" s="710"/>
      <c r="Z310" s="710"/>
      <c r="AA310" s="710"/>
      <c r="AB310" s="710"/>
      <c r="AC310" s="710"/>
      <c r="AD310" s="710"/>
      <c r="AE310" s="710"/>
      <c r="AF310" s="710"/>
      <c r="AG310" s="710"/>
      <c r="AH310" s="710"/>
      <c r="AI310" s="710"/>
      <c r="AJ310" s="710"/>
      <c r="AK310" s="710"/>
      <c r="AL310" s="710"/>
      <c r="AM310" s="710"/>
      <c r="AN310" s="710"/>
      <c r="AO310" s="710"/>
      <c r="AP310" s="710"/>
    </row>
    <row r="311" spans="2:42">
      <c r="B311" s="710"/>
      <c r="C311" s="710"/>
      <c r="D311" s="710"/>
      <c r="E311" s="710"/>
      <c r="F311" s="710"/>
      <c r="G311" s="710"/>
      <c r="H311" s="710"/>
      <c r="I311" s="710"/>
      <c r="J311" s="710"/>
      <c r="K311" s="710"/>
      <c r="L311" s="710"/>
      <c r="M311" s="710"/>
      <c r="N311" s="710"/>
      <c r="O311" s="710"/>
      <c r="P311" s="710"/>
      <c r="Q311" s="710"/>
      <c r="R311" s="710"/>
      <c r="S311" s="710"/>
      <c r="T311" s="710"/>
      <c r="U311" s="710"/>
      <c r="V311" s="710"/>
      <c r="W311" s="710"/>
      <c r="X311" s="710"/>
      <c r="Y311" s="710"/>
      <c r="Z311" s="710"/>
      <c r="AA311" s="710"/>
      <c r="AB311" s="710"/>
      <c r="AC311" s="710"/>
      <c r="AD311" s="710"/>
      <c r="AE311" s="710"/>
      <c r="AF311" s="710"/>
      <c r="AG311" s="710"/>
      <c r="AH311" s="710"/>
      <c r="AI311" s="710"/>
      <c r="AJ311" s="710"/>
      <c r="AK311" s="710"/>
      <c r="AL311" s="710"/>
      <c r="AM311" s="710"/>
      <c r="AN311" s="710"/>
      <c r="AO311" s="710"/>
      <c r="AP311" s="710"/>
    </row>
    <row r="312" spans="2:42">
      <c r="B312" s="710"/>
      <c r="C312" s="710"/>
      <c r="D312" s="710"/>
      <c r="E312" s="710"/>
      <c r="F312" s="710"/>
      <c r="G312" s="710"/>
      <c r="H312" s="710"/>
      <c r="I312" s="710"/>
      <c r="J312" s="710"/>
      <c r="K312" s="710"/>
      <c r="L312" s="710"/>
      <c r="M312" s="710"/>
      <c r="N312" s="710"/>
      <c r="O312" s="710"/>
      <c r="P312" s="710"/>
      <c r="Q312" s="710"/>
      <c r="R312" s="710"/>
      <c r="S312" s="710"/>
      <c r="T312" s="710"/>
      <c r="U312" s="710"/>
      <c r="V312" s="710"/>
      <c r="W312" s="710"/>
      <c r="X312" s="710"/>
      <c r="Y312" s="710"/>
      <c r="Z312" s="710"/>
      <c r="AA312" s="710"/>
      <c r="AB312" s="710"/>
      <c r="AC312" s="710"/>
      <c r="AD312" s="710"/>
      <c r="AE312" s="710"/>
      <c r="AF312" s="710"/>
      <c r="AG312" s="710"/>
      <c r="AH312" s="710"/>
      <c r="AI312" s="710"/>
      <c r="AJ312" s="710"/>
      <c r="AK312" s="710"/>
      <c r="AL312" s="710"/>
      <c r="AM312" s="710"/>
      <c r="AN312" s="710"/>
      <c r="AO312" s="710"/>
      <c r="AP312" s="710"/>
    </row>
    <row r="313" spans="2:42">
      <c r="B313" s="710"/>
      <c r="C313" s="710"/>
      <c r="D313" s="710"/>
      <c r="E313" s="710"/>
      <c r="F313" s="710"/>
      <c r="G313" s="710"/>
      <c r="H313" s="710"/>
      <c r="I313" s="710"/>
      <c r="J313" s="710"/>
      <c r="K313" s="710"/>
      <c r="L313" s="710"/>
      <c r="M313" s="710"/>
      <c r="N313" s="710"/>
      <c r="O313" s="710"/>
      <c r="P313" s="710"/>
      <c r="Q313" s="710"/>
      <c r="R313" s="710"/>
      <c r="S313" s="710"/>
      <c r="T313" s="710"/>
      <c r="U313" s="710"/>
      <c r="V313" s="710"/>
      <c r="W313" s="710"/>
      <c r="X313" s="710"/>
      <c r="Y313" s="710"/>
      <c r="Z313" s="710"/>
      <c r="AA313" s="710"/>
      <c r="AB313" s="710"/>
      <c r="AC313" s="710"/>
      <c r="AD313" s="710"/>
      <c r="AE313" s="710"/>
      <c r="AF313" s="710"/>
      <c r="AG313" s="710"/>
      <c r="AH313" s="710"/>
      <c r="AI313" s="710"/>
      <c r="AJ313" s="710"/>
      <c r="AK313" s="710"/>
      <c r="AL313" s="710"/>
      <c r="AM313" s="710"/>
      <c r="AN313" s="710"/>
      <c r="AO313" s="710"/>
      <c r="AP313" s="710"/>
    </row>
    <row r="314" spans="2:42">
      <c r="B314" s="710"/>
      <c r="C314" s="710"/>
      <c r="D314" s="710"/>
      <c r="E314" s="710"/>
      <c r="F314" s="710"/>
      <c r="G314" s="710"/>
      <c r="H314" s="710"/>
      <c r="I314" s="710"/>
      <c r="J314" s="710"/>
      <c r="K314" s="710"/>
      <c r="L314" s="710"/>
      <c r="M314" s="710"/>
      <c r="N314" s="710"/>
      <c r="O314" s="710"/>
      <c r="P314" s="710"/>
      <c r="Q314" s="710"/>
      <c r="R314" s="710"/>
      <c r="S314" s="710"/>
      <c r="T314" s="710"/>
      <c r="U314" s="710"/>
      <c r="V314" s="710"/>
      <c r="W314" s="710"/>
      <c r="X314" s="710"/>
      <c r="Y314" s="710"/>
      <c r="Z314" s="710"/>
      <c r="AA314" s="710"/>
      <c r="AB314" s="710"/>
      <c r="AC314" s="710"/>
      <c r="AD314" s="710"/>
      <c r="AE314" s="710"/>
      <c r="AF314" s="710"/>
      <c r="AG314" s="710"/>
      <c r="AH314" s="710"/>
      <c r="AI314" s="710"/>
      <c r="AJ314" s="710"/>
      <c r="AK314" s="710"/>
      <c r="AL314" s="710"/>
      <c r="AM314" s="710"/>
      <c r="AN314" s="710"/>
      <c r="AO314" s="710"/>
      <c r="AP314" s="710"/>
    </row>
    <row r="315" spans="2:42">
      <c r="B315" s="710"/>
      <c r="C315" s="710"/>
      <c r="D315" s="710"/>
      <c r="E315" s="710"/>
      <c r="F315" s="710"/>
      <c r="G315" s="710"/>
      <c r="H315" s="710"/>
      <c r="I315" s="710"/>
      <c r="J315" s="710"/>
      <c r="K315" s="710"/>
      <c r="L315" s="710"/>
      <c r="M315" s="710"/>
      <c r="N315" s="710"/>
      <c r="O315" s="710"/>
      <c r="P315" s="710"/>
      <c r="Q315" s="710"/>
      <c r="R315" s="710"/>
      <c r="S315" s="710"/>
      <c r="T315" s="710"/>
      <c r="U315" s="710"/>
      <c r="V315" s="710"/>
      <c r="W315" s="710"/>
      <c r="X315" s="710"/>
      <c r="Y315" s="710"/>
      <c r="Z315" s="710"/>
      <c r="AA315" s="710"/>
      <c r="AB315" s="710"/>
      <c r="AC315" s="710"/>
      <c r="AD315" s="710"/>
      <c r="AE315" s="710"/>
      <c r="AF315" s="710"/>
      <c r="AG315" s="710"/>
      <c r="AH315" s="710"/>
      <c r="AI315" s="710"/>
      <c r="AJ315" s="710"/>
      <c r="AK315" s="710"/>
      <c r="AL315" s="710"/>
      <c r="AM315" s="710"/>
      <c r="AN315" s="710"/>
      <c r="AO315" s="710"/>
      <c r="AP315" s="710"/>
    </row>
    <row r="316" spans="2:42">
      <c r="B316" s="710"/>
      <c r="C316" s="710"/>
      <c r="D316" s="710"/>
      <c r="E316" s="710"/>
      <c r="F316" s="710"/>
      <c r="G316" s="710"/>
      <c r="H316" s="710"/>
      <c r="I316" s="710"/>
      <c r="J316" s="710"/>
      <c r="K316" s="710"/>
      <c r="L316" s="710"/>
      <c r="M316" s="710"/>
      <c r="N316" s="710"/>
      <c r="O316" s="710"/>
      <c r="P316" s="710"/>
      <c r="Q316" s="710"/>
      <c r="R316" s="710"/>
      <c r="S316" s="710"/>
      <c r="T316" s="710"/>
      <c r="U316" s="710"/>
      <c r="V316" s="710"/>
      <c r="W316" s="710"/>
      <c r="X316" s="710"/>
      <c r="Y316" s="710"/>
      <c r="Z316" s="710"/>
      <c r="AA316" s="710"/>
      <c r="AB316" s="710"/>
      <c r="AC316" s="710"/>
      <c r="AD316" s="710"/>
      <c r="AE316" s="710"/>
      <c r="AF316" s="710"/>
      <c r="AG316" s="710"/>
      <c r="AH316" s="710"/>
      <c r="AI316" s="710"/>
      <c r="AJ316" s="710"/>
      <c r="AK316" s="710"/>
      <c r="AL316" s="710"/>
      <c r="AM316" s="710"/>
      <c r="AN316" s="710"/>
      <c r="AO316" s="710"/>
      <c r="AP316" s="710"/>
    </row>
    <row r="317" spans="2:42">
      <c r="B317" s="710"/>
      <c r="C317" s="710"/>
      <c r="D317" s="710"/>
      <c r="E317" s="710"/>
      <c r="F317" s="710"/>
      <c r="G317" s="710"/>
      <c r="H317" s="710"/>
      <c r="I317" s="710"/>
      <c r="J317" s="710"/>
      <c r="K317" s="710"/>
      <c r="L317" s="710"/>
      <c r="M317" s="710"/>
      <c r="N317" s="710"/>
      <c r="O317" s="710"/>
      <c r="P317" s="710"/>
      <c r="Q317" s="710"/>
      <c r="R317" s="710"/>
      <c r="S317" s="710"/>
      <c r="T317" s="710"/>
      <c r="U317" s="710"/>
      <c r="V317" s="710"/>
      <c r="W317" s="710"/>
      <c r="X317" s="710"/>
      <c r="Y317" s="710"/>
      <c r="Z317" s="710"/>
      <c r="AA317" s="710"/>
      <c r="AB317" s="710"/>
      <c r="AC317" s="710"/>
      <c r="AD317" s="710"/>
      <c r="AE317" s="710"/>
      <c r="AF317" s="710"/>
      <c r="AG317" s="710"/>
      <c r="AH317" s="710"/>
      <c r="AI317" s="710"/>
      <c r="AJ317" s="710"/>
      <c r="AK317" s="710"/>
      <c r="AL317" s="710"/>
      <c r="AM317" s="710"/>
      <c r="AN317" s="710"/>
      <c r="AO317" s="710"/>
      <c r="AP317" s="710"/>
    </row>
    <row r="318" spans="2:42">
      <c r="B318" s="710"/>
      <c r="C318" s="710"/>
      <c r="D318" s="710"/>
      <c r="E318" s="710"/>
      <c r="F318" s="710"/>
      <c r="G318" s="710"/>
      <c r="H318" s="710"/>
      <c r="I318" s="710"/>
      <c r="J318" s="710"/>
      <c r="K318" s="710"/>
      <c r="L318" s="710"/>
      <c r="M318" s="710"/>
      <c r="N318" s="710"/>
      <c r="O318" s="710"/>
      <c r="P318" s="710"/>
      <c r="Q318" s="710"/>
      <c r="R318" s="710"/>
      <c r="S318" s="710"/>
      <c r="T318" s="710"/>
      <c r="U318" s="710"/>
      <c r="V318" s="710"/>
      <c r="W318" s="710"/>
      <c r="X318" s="710"/>
      <c r="Y318" s="710"/>
      <c r="Z318" s="710"/>
      <c r="AA318" s="710"/>
      <c r="AB318" s="710"/>
      <c r="AC318" s="710"/>
      <c r="AD318" s="710"/>
      <c r="AE318" s="710"/>
      <c r="AF318" s="710"/>
      <c r="AG318" s="710"/>
      <c r="AH318" s="710"/>
      <c r="AI318" s="710"/>
      <c r="AJ318" s="710"/>
      <c r="AK318" s="710"/>
      <c r="AL318" s="710"/>
      <c r="AM318" s="710"/>
      <c r="AN318" s="710"/>
      <c r="AO318" s="710"/>
      <c r="AP318" s="710"/>
    </row>
    <row r="319" spans="2:42">
      <c r="B319" s="710"/>
      <c r="C319" s="710"/>
      <c r="D319" s="710"/>
      <c r="E319" s="710"/>
      <c r="F319" s="710"/>
      <c r="G319" s="710"/>
      <c r="H319" s="710"/>
      <c r="I319" s="710"/>
      <c r="J319" s="710"/>
      <c r="K319" s="710"/>
      <c r="L319" s="710"/>
      <c r="M319" s="710"/>
      <c r="N319" s="710"/>
      <c r="O319" s="710"/>
      <c r="P319" s="710"/>
      <c r="Q319" s="710"/>
      <c r="R319" s="710"/>
      <c r="S319" s="710"/>
      <c r="T319" s="710"/>
      <c r="U319" s="710"/>
      <c r="V319" s="710"/>
      <c r="W319" s="710"/>
      <c r="X319" s="710"/>
      <c r="Y319" s="710"/>
      <c r="Z319" s="710"/>
      <c r="AA319" s="710"/>
      <c r="AB319" s="710"/>
      <c r="AC319" s="710"/>
      <c r="AD319" s="710"/>
      <c r="AE319" s="710"/>
      <c r="AF319" s="710"/>
      <c r="AG319" s="710"/>
      <c r="AH319" s="710"/>
      <c r="AI319" s="710"/>
      <c r="AJ319" s="710"/>
      <c r="AK319" s="710"/>
      <c r="AL319" s="710"/>
      <c r="AM319" s="710"/>
      <c r="AN319" s="710"/>
      <c r="AO319" s="710"/>
      <c r="AP319" s="710"/>
    </row>
    <row r="320" spans="2:42">
      <c r="B320" s="710"/>
      <c r="C320" s="710"/>
      <c r="D320" s="710"/>
      <c r="E320" s="710"/>
      <c r="F320" s="710"/>
      <c r="G320" s="710"/>
      <c r="H320" s="710"/>
      <c r="I320" s="710"/>
      <c r="J320" s="710"/>
      <c r="K320" s="710"/>
      <c r="L320" s="710"/>
      <c r="M320" s="710"/>
      <c r="N320" s="710"/>
      <c r="O320" s="710"/>
      <c r="P320" s="710"/>
      <c r="Q320" s="710"/>
      <c r="R320" s="710"/>
      <c r="S320" s="710"/>
      <c r="T320" s="710"/>
      <c r="U320" s="710"/>
      <c r="V320" s="710"/>
      <c r="W320" s="710"/>
      <c r="X320" s="710"/>
      <c r="Y320" s="710"/>
      <c r="Z320" s="710"/>
      <c r="AA320" s="710"/>
      <c r="AB320" s="710"/>
      <c r="AC320" s="710"/>
      <c r="AD320" s="710"/>
      <c r="AE320" s="710"/>
      <c r="AF320" s="710"/>
      <c r="AG320" s="710"/>
      <c r="AH320" s="710"/>
      <c r="AI320" s="710"/>
      <c r="AJ320" s="710"/>
      <c r="AK320" s="710"/>
      <c r="AL320" s="710"/>
      <c r="AM320" s="710"/>
      <c r="AN320" s="710"/>
      <c r="AO320" s="710"/>
      <c r="AP320" s="710"/>
    </row>
    <row r="321" spans="2:42">
      <c r="B321" s="710"/>
      <c r="C321" s="710"/>
      <c r="D321" s="710"/>
      <c r="E321" s="710"/>
      <c r="F321" s="710"/>
      <c r="G321" s="710"/>
      <c r="H321" s="710"/>
      <c r="I321" s="710"/>
      <c r="J321" s="710"/>
      <c r="K321" s="710"/>
      <c r="L321" s="710"/>
      <c r="M321" s="710"/>
      <c r="N321" s="710"/>
      <c r="O321" s="710"/>
      <c r="P321" s="710"/>
      <c r="Q321" s="710"/>
      <c r="R321" s="710"/>
      <c r="S321" s="710"/>
      <c r="T321" s="710"/>
      <c r="U321" s="710"/>
      <c r="V321" s="710"/>
      <c r="W321" s="710"/>
      <c r="X321" s="710"/>
      <c r="Y321" s="710"/>
      <c r="Z321" s="710"/>
      <c r="AA321" s="710"/>
      <c r="AB321" s="710"/>
      <c r="AC321" s="710"/>
      <c r="AD321" s="710"/>
      <c r="AE321" s="710"/>
      <c r="AF321" s="710"/>
      <c r="AG321" s="710"/>
      <c r="AH321" s="710"/>
      <c r="AI321" s="710"/>
      <c r="AJ321" s="710"/>
      <c r="AK321" s="710"/>
      <c r="AL321" s="710"/>
      <c r="AM321" s="710"/>
      <c r="AN321" s="710"/>
      <c r="AO321" s="710"/>
      <c r="AP321" s="710"/>
    </row>
    <row r="322" spans="2:42">
      <c r="B322" s="710"/>
      <c r="C322" s="710"/>
      <c r="D322" s="710"/>
      <c r="E322" s="710"/>
      <c r="F322" s="710"/>
      <c r="G322" s="710"/>
      <c r="H322" s="710"/>
      <c r="I322" s="710"/>
      <c r="J322" s="710"/>
      <c r="K322" s="710"/>
      <c r="L322" s="710"/>
      <c r="M322" s="710"/>
      <c r="N322" s="710"/>
      <c r="O322" s="710"/>
      <c r="P322" s="710"/>
      <c r="Q322" s="710"/>
      <c r="R322" s="710"/>
      <c r="S322" s="710"/>
      <c r="T322" s="710"/>
      <c r="U322" s="710"/>
      <c r="V322" s="710"/>
      <c r="W322" s="710"/>
      <c r="X322" s="710"/>
      <c r="Y322" s="710"/>
      <c r="Z322" s="710"/>
      <c r="AA322" s="710"/>
      <c r="AB322" s="710"/>
      <c r="AC322" s="710"/>
      <c r="AD322" s="710"/>
      <c r="AE322" s="710"/>
      <c r="AF322" s="710"/>
      <c r="AG322" s="710"/>
      <c r="AH322" s="710"/>
      <c r="AI322" s="710"/>
      <c r="AJ322" s="710"/>
      <c r="AK322" s="710"/>
      <c r="AL322" s="710"/>
      <c r="AM322" s="710"/>
      <c r="AN322" s="710"/>
      <c r="AO322" s="710"/>
      <c r="AP322" s="710"/>
    </row>
    <row r="323" spans="2:42">
      <c r="B323" s="710"/>
      <c r="C323" s="710"/>
      <c r="D323" s="710"/>
      <c r="E323" s="710"/>
      <c r="F323" s="710"/>
      <c r="G323" s="710"/>
      <c r="H323" s="710"/>
      <c r="I323" s="710"/>
      <c r="J323" s="710"/>
      <c r="K323" s="710"/>
      <c r="L323" s="710"/>
      <c r="M323" s="710"/>
      <c r="N323" s="710"/>
      <c r="O323" s="710"/>
      <c r="P323" s="710"/>
      <c r="Q323" s="710"/>
      <c r="R323" s="710"/>
      <c r="S323" s="710"/>
      <c r="T323" s="710"/>
      <c r="U323" s="710"/>
      <c r="V323" s="710"/>
      <c r="W323" s="710"/>
      <c r="X323" s="710"/>
      <c r="Y323" s="710"/>
      <c r="Z323" s="710"/>
      <c r="AA323" s="710"/>
      <c r="AB323" s="710"/>
      <c r="AC323" s="710"/>
      <c r="AD323" s="710"/>
      <c r="AE323" s="710"/>
      <c r="AF323" s="710"/>
      <c r="AG323" s="710"/>
      <c r="AH323" s="710"/>
      <c r="AI323" s="710"/>
      <c r="AJ323" s="710"/>
      <c r="AK323" s="710"/>
      <c r="AL323" s="710"/>
      <c r="AM323" s="710"/>
      <c r="AN323" s="710"/>
      <c r="AO323" s="710"/>
      <c r="AP323" s="710"/>
    </row>
    <row r="324" spans="2:42">
      <c r="B324" s="710"/>
      <c r="C324" s="710"/>
      <c r="D324" s="710"/>
      <c r="E324" s="710"/>
      <c r="F324" s="710"/>
      <c r="G324" s="710"/>
      <c r="H324" s="710"/>
      <c r="I324" s="710"/>
      <c r="J324" s="710"/>
      <c r="K324" s="710"/>
      <c r="L324" s="710"/>
      <c r="M324" s="710"/>
      <c r="N324" s="710"/>
      <c r="O324" s="710"/>
      <c r="P324" s="710"/>
      <c r="Q324" s="710"/>
      <c r="R324" s="710"/>
      <c r="S324" s="710"/>
      <c r="T324" s="710"/>
      <c r="U324" s="710"/>
      <c r="V324" s="710"/>
      <c r="W324" s="710"/>
      <c r="X324" s="710"/>
      <c r="Y324" s="710"/>
      <c r="Z324" s="710"/>
      <c r="AA324" s="710"/>
      <c r="AB324" s="710"/>
      <c r="AC324" s="710"/>
      <c r="AD324" s="710"/>
      <c r="AE324" s="710"/>
      <c r="AF324" s="710"/>
      <c r="AG324" s="710"/>
      <c r="AH324" s="710"/>
      <c r="AI324" s="710"/>
      <c r="AJ324" s="710"/>
      <c r="AK324" s="710"/>
      <c r="AL324" s="710"/>
      <c r="AM324" s="710"/>
      <c r="AN324" s="710"/>
      <c r="AO324" s="710"/>
      <c r="AP324" s="710"/>
    </row>
    <row r="325" spans="2:42">
      <c r="B325" s="710"/>
      <c r="C325" s="710"/>
      <c r="D325" s="710"/>
      <c r="E325" s="710"/>
      <c r="F325" s="710"/>
      <c r="G325" s="710"/>
      <c r="H325" s="710"/>
      <c r="I325" s="710"/>
      <c r="J325" s="710"/>
      <c r="K325" s="710"/>
      <c r="L325" s="710"/>
      <c r="M325" s="710"/>
      <c r="N325" s="710"/>
      <c r="O325" s="710"/>
      <c r="P325" s="710"/>
      <c r="Q325" s="710"/>
      <c r="R325" s="710"/>
      <c r="S325" s="710"/>
      <c r="T325" s="710"/>
      <c r="U325" s="710"/>
      <c r="V325" s="710"/>
      <c r="W325" s="710"/>
      <c r="X325" s="710"/>
      <c r="Y325" s="710"/>
      <c r="Z325" s="710"/>
      <c r="AA325" s="710"/>
      <c r="AB325" s="710"/>
      <c r="AC325" s="710"/>
      <c r="AD325" s="710"/>
      <c r="AE325" s="710"/>
      <c r="AF325" s="710"/>
      <c r="AG325" s="710"/>
      <c r="AH325" s="710"/>
      <c r="AI325" s="710"/>
      <c r="AJ325" s="710"/>
      <c r="AK325" s="710"/>
      <c r="AL325" s="710"/>
      <c r="AM325" s="710"/>
      <c r="AN325" s="710"/>
      <c r="AO325" s="710"/>
      <c r="AP325" s="710"/>
    </row>
    <row r="326" spans="2:42">
      <c r="B326" s="710"/>
      <c r="C326" s="710"/>
      <c r="D326" s="710"/>
      <c r="E326" s="710"/>
      <c r="F326" s="710"/>
      <c r="G326" s="710"/>
      <c r="H326" s="710"/>
      <c r="I326" s="710"/>
      <c r="J326" s="710"/>
      <c r="K326" s="710"/>
      <c r="L326" s="710"/>
      <c r="M326" s="710"/>
      <c r="N326" s="710"/>
      <c r="O326" s="710"/>
      <c r="P326" s="710"/>
      <c r="Q326" s="710"/>
      <c r="R326" s="710"/>
      <c r="S326" s="710"/>
      <c r="T326" s="710"/>
      <c r="U326" s="710"/>
      <c r="V326" s="710"/>
      <c r="W326" s="710"/>
      <c r="X326" s="710"/>
      <c r="Y326" s="710"/>
      <c r="Z326" s="710"/>
      <c r="AA326" s="710"/>
      <c r="AB326" s="710"/>
      <c r="AC326" s="710"/>
      <c r="AD326" s="710"/>
      <c r="AE326" s="710"/>
      <c r="AF326" s="710"/>
      <c r="AG326" s="710"/>
      <c r="AH326" s="710"/>
      <c r="AI326" s="710"/>
      <c r="AJ326" s="710"/>
      <c r="AK326" s="710"/>
      <c r="AL326" s="710"/>
      <c r="AM326" s="710"/>
      <c r="AN326" s="710"/>
      <c r="AO326" s="710"/>
      <c r="AP326" s="710"/>
    </row>
    <row r="327" spans="2:42">
      <c r="B327" s="710"/>
      <c r="C327" s="710"/>
      <c r="D327" s="710"/>
      <c r="E327" s="710"/>
      <c r="F327" s="710"/>
      <c r="G327" s="710"/>
      <c r="H327" s="710"/>
      <c r="I327" s="710"/>
      <c r="J327" s="710"/>
      <c r="K327" s="710"/>
      <c r="L327" s="710"/>
      <c r="M327" s="710"/>
      <c r="N327" s="710"/>
      <c r="O327" s="710"/>
      <c r="P327" s="710"/>
      <c r="Q327" s="710"/>
      <c r="R327" s="710"/>
      <c r="S327" s="710"/>
      <c r="T327" s="710"/>
      <c r="U327" s="710"/>
      <c r="V327" s="710"/>
      <c r="W327" s="710"/>
      <c r="X327" s="710"/>
      <c r="Y327" s="710"/>
      <c r="Z327" s="710"/>
      <c r="AA327" s="710"/>
      <c r="AB327" s="710"/>
      <c r="AC327" s="710"/>
      <c r="AD327" s="710"/>
      <c r="AE327" s="710"/>
      <c r="AF327" s="710"/>
      <c r="AG327" s="710"/>
      <c r="AH327" s="710"/>
      <c r="AI327" s="710"/>
      <c r="AJ327" s="710"/>
      <c r="AK327" s="710"/>
      <c r="AL327" s="710"/>
      <c r="AM327" s="710"/>
      <c r="AN327" s="710"/>
      <c r="AO327" s="710"/>
      <c r="AP327" s="710"/>
    </row>
    <row r="328" spans="2:42">
      <c r="B328" s="710"/>
      <c r="C328" s="710"/>
      <c r="D328" s="710"/>
      <c r="E328" s="710"/>
      <c r="F328" s="710"/>
      <c r="G328" s="710"/>
      <c r="H328" s="710"/>
      <c r="I328" s="710"/>
      <c r="J328" s="710"/>
      <c r="K328" s="710"/>
      <c r="L328" s="710"/>
      <c r="M328" s="710"/>
      <c r="N328" s="710"/>
      <c r="O328" s="710"/>
      <c r="P328" s="710"/>
      <c r="Q328" s="710"/>
      <c r="R328" s="710"/>
      <c r="S328" s="710"/>
      <c r="T328" s="710"/>
      <c r="U328" s="710"/>
      <c r="V328" s="710"/>
      <c r="W328" s="710"/>
      <c r="X328" s="710"/>
      <c r="Y328" s="710"/>
      <c r="Z328" s="710"/>
      <c r="AA328" s="710"/>
      <c r="AB328" s="710"/>
      <c r="AC328" s="710"/>
      <c r="AD328" s="710"/>
      <c r="AE328" s="710"/>
      <c r="AF328" s="710"/>
      <c r="AG328" s="710"/>
      <c r="AH328" s="710"/>
      <c r="AI328" s="710"/>
      <c r="AJ328" s="710"/>
      <c r="AK328" s="710"/>
      <c r="AL328" s="710"/>
      <c r="AM328" s="710"/>
      <c r="AN328" s="710"/>
      <c r="AO328" s="710"/>
      <c r="AP328" s="710"/>
    </row>
    <row r="329" spans="2:42">
      <c r="B329" s="710"/>
      <c r="C329" s="710"/>
      <c r="D329" s="710"/>
      <c r="E329" s="710"/>
      <c r="F329" s="710"/>
      <c r="G329" s="710"/>
      <c r="H329" s="710"/>
      <c r="I329" s="710"/>
      <c r="J329" s="710"/>
      <c r="K329" s="710"/>
      <c r="L329" s="710"/>
      <c r="M329" s="710"/>
      <c r="N329" s="710"/>
      <c r="O329" s="710"/>
      <c r="P329" s="710"/>
      <c r="Q329" s="710"/>
      <c r="R329" s="710"/>
      <c r="S329" s="710"/>
      <c r="T329" s="710"/>
      <c r="U329" s="710"/>
      <c r="V329" s="710"/>
      <c r="W329" s="710"/>
      <c r="X329" s="710"/>
      <c r="Y329" s="710"/>
      <c r="Z329" s="710"/>
      <c r="AA329" s="710"/>
      <c r="AB329" s="710"/>
      <c r="AC329" s="710"/>
      <c r="AD329" s="710"/>
      <c r="AE329" s="710"/>
      <c r="AF329" s="710"/>
      <c r="AG329" s="710"/>
      <c r="AH329" s="710"/>
      <c r="AI329" s="710"/>
      <c r="AJ329" s="710"/>
      <c r="AK329" s="710"/>
      <c r="AL329" s="710"/>
      <c r="AM329" s="710"/>
      <c r="AN329" s="710"/>
      <c r="AO329" s="710"/>
      <c r="AP329" s="710"/>
    </row>
    <row r="330" spans="2:42">
      <c r="B330" s="710"/>
      <c r="C330" s="710"/>
      <c r="D330" s="710"/>
      <c r="E330" s="710"/>
      <c r="F330" s="710"/>
      <c r="G330" s="710"/>
      <c r="H330" s="710"/>
      <c r="I330" s="710"/>
      <c r="J330" s="710"/>
      <c r="K330" s="710"/>
      <c r="L330" s="710"/>
      <c r="M330" s="710"/>
      <c r="N330" s="710"/>
      <c r="O330" s="710"/>
      <c r="P330" s="710"/>
      <c r="Q330" s="710"/>
      <c r="R330" s="710"/>
      <c r="S330" s="710"/>
      <c r="T330" s="710"/>
      <c r="U330" s="710"/>
      <c r="V330" s="710"/>
      <c r="W330" s="710"/>
      <c r="X330" s="710"/>
      <c r="Y330" s="710"/>
      <c r="Z330" s="710"/>
      <c r="AA330" s="710"/>
      <c r="AB330" s="710"/>
      <c r="AC330" s="710"/>
      <c r="AD330" s="710"/>
      <c r="AE330" s="710"/>
      <c r="AF330" s="710"/>
      <c r="AG330" s="710"/>
      <c r="AH330" s="710"/>
      <c r="AI330" s="710"/>
      <c r="AJ330" s="710"/>
      <c r="AK330" s="710"/>
      <c r="AL330" s="710"/>
      <c r="AM330" s="710"/>
      <c r="AN330" s="710"/>
      <c r="AO330" s="710"/>
      <c r="AP330" s="710"/>
    </row>
    <row r="331" spans="2:42">
      <c r="B331" s="710"/>
      <c r="C331" s="710"/>
      <c r="D331" s="710"/>
      <c r="E331" s="710"/>
      <c r="F331" s="710"/>
      <c r="G331" s="710"/>
      <c r="H331" s="710"/>
      <c r="I331" s="710"/>
      <c r="J331" s="710"/>
      <c r="K331" s="710"/>
      <c r="L331" s="710"/>
      <c r="M331" s="710"/>
      <c r="N331" s="710"/>
      <c r="O331" s="710"/>
      <c r="P331" s="710"/>
      <c r="Q331" s="710"/>
      <c r="R331" s="710"/>
      <c r="S331" s="710"/>
      <c r="T331" s="710"/>
      <c r="U331" s="710"/>
      <c r="V331" s="710"/>
      <c r="W331" s="710"/>
      <c r="X331" s="710"/>
      <c r="Y331" s="710"/>
      <c r="Z331" s="710"/>
      <c r="AA331" s="710"/>
      <c r="AB331" s="710"/>
      <c r="AC331" s="710"/>
      <c r="AD331" s="710"/>
      <c r="AE331" s="710"/>
      <c r="AF331" s="710"/>
      <c r="AG331" s="710"/>
      <c r="AH331" s="710"/>
      <c r="AI331" s="710"/>
      <c r="AJ331" s="710"/>
      <c r="AK331" s="710"/>
      <c r="AL331" s="710"/>
      <c r="AM331" s="710"/>
      <c r="AN331" s="710"/>
      <c r="AO331" s="710"/>
      <c r="AP331" s="710"/>
    </row>
    <row r="332" spans="2:42">
      <c r="B332" s="710"/>
      <c r="C332" s="710"/>
      <c r="D332" s="710"/>
      <c r="E332" s="710"/>
      <c r="F332" s="710"/>
      <c r="G332" s="710"/>
      <c r="H332" s="710"/>
      <c r="I332" s="710"/>
      <c r="J332" s="710"/>
      <c r="K332" s="710"/>
      <c r="L332" s="710"/>
      <c r="M332" s="710"/>
      <c r="N332" s="710"/>
      <c r="O332" s="710"/>
      <c r="P332" s="710"/>
      <c r="Q332" s="710"/>
      <c r="R332" s="710"/>
      <c r="S332" s="710"/>
      <c r="T332" s="710"/>
      <c r="U332" s="710"/>
      <c r="V332" s="710"/>
      <c r="W332" s="710"/>
      <c r="X332" s="710"/>
      <c r="Y332" s="710"/>
      <c r="Z332" s="710"/>
      <c r="AA332" s="710"/>
      <c r="AB332" s="710"/>
      <c r="AC332" s="710"/>
      <c r="AD332" s="710"/>
      <c r="AE332" s="710"/>
      <c r="AF332" s="710"/>
      <c r="AG332" s="710"/>
      <c r="AH332" s="710"/>
      <c r="AI332" s="710"/>
      <c r="AJ332" s="710"/>
      <c r="AK332" s="710"/>
      <c r="AL332" s="710"/>
      <c r="AM332" s="710"/>
      <c r="AN332" s="710"/>
      <c r="AO332" s="710"/>
      <c r="AP332" s="710"/>
    </row>
    <row r="333" spans="2:42">
      <c r="B333" s="710"/>
      <c r="C333" s="710"/>
      <c r="D333" s="710"/>
      <c r="E333" s="710"/>
      <c r="F333" s="710"/>
      <c r="G333" s="710"/>
      <c r="H333" s="710"/>
      <c r="I333" s="710"/>
      <c r="J333" s="710"/>
      <c r="K333" s="710"/>
      <c r="L333" s="710"/>
      <c r="M333" s="710"/>
      <c r="N333" s="710"/>
      <c r="O333" s="710"/>
      <c r="P333" s="710"/>
      <c r="Q333" s="710"/>
      <c r="R333" s="710"/>
      <c r="S333" s="710"/>
      <c r="T333" s="710"/>
      <c r="U333" s="710"/>
      <c r="V333" s="710"/>
      <c r="W333" s="710"/>
      <c r="X333" s="710"/>
      <c r="Y333" s="710"/>
      <c r="Z333" s="710"/>
      <c r="AA333" s="710"/>
      <c r="AB333" s="710"/>
      <c r="AC333" s="710"/>
      <c r="AD333" s="710"/>
      <c r="AE333" s="710"/>
      <c r="AF333" s="710"/>
      <c r="AG333" s="710"/>
      <c r="AH333" s="710"/>
      <c r="AI333" s="710"/>
      <c r="AJ333" s="710"/>
      <c r="AK333" s="710"/>
      <c r="AL333" s="710"/>
      <c r="AM333" s="710"/>
      <c r="AN333" s="710"/>
      <c r="AO333" s="710"/>
      <c r="AP333" s="710"/>
    </row>
    <row r="334" spans="2:42">
      <c r="B334" s="710"/>
      <c r="C334" s="710"/>
      <c r="D334" s="710"/>
      <c r="E334" s="710"/>
      <c r="F334" s="710"/>
      <c r="G334" s="710"/>
      <c r="H334" s="710"/>
      <c r="I334" s="710"/>
      <c r="J334" s="710"/>
      <c r="K334" s="710"/>
      <c r="L334" s="710"/>
      <c r="M334" s="710"/>
      <c r="N334" s="710"/>
      <c r="O334" s="710"/>
      <c r="P334" s="710"/>
      <c r="Q334" s="710"/>
      <c r="R334" s="710"/>
      <c r="S334" s="710"/>
      <c r="T334" s="710"/>
      <c r="U334" s="710"/>
      <c r="V334" s="710"/>
      <c r="W334" s="710"/>
      <c r="X334" s="710"/>
      <c r="Y334" s="710"/>
      <c r="Z334" s="710"/>
      <c r="AA334" s="710"/>
      <c r="AB334" s="710"/>
      <c r="AC334" s="710"/>
      <c r="AD334" s="710"/>
      <c r="AE334" s="710"/>
      <c r="AF334" s="710"/>
      <c r="AG334" s="710"/>
      <c r="AH334" s="710"/>
      <c r="AI334" s="710"/>
      <c r="AJ334" s="710"/>
      <c r="AK334" s="710"/>
      <c r="AL334" s="710"/>
      <c r="AM334" s="710"/>
      <c r="AN334" s="710"/>
      <c r="AO334" s="710"/>
      <c r="AP334" s="710"/>
    </row>
    <row r="335" spans="2:42">
      <c r="B335" s="710"/>
      <c r="C335" s="710"/>
      <c r="D335" s="710"/>
      <c r="E335" s="710"/>
      <c r="F335" s="710"/>
      <c r="G335" s="710"/>
      <c r="H335" s="710"/>
      <c r="I335" s="710"/>
      <c r="J335" s="710"/>
      <c r="K335" s="710"/>
      <c r="L335" s="710"/>
      <c r="M335" s="710"/>
      <c r="N335" s="710"/>
      <c r="O335" s="710"/>
      <c r="P335" s="710"/>
      <c r="Q335" s="710"/>
      <c r="R335" s="710"/>
      <c r="S335" s="710"/>
      <c r="T335" s="710"/>
      <c r="U335" s="710"/>
      <c r="V335" s="710"/>
      <c r="W335" s="710"/>
      <c r="X335" s="710"/>
      <c r="Y335" s="710"/>
      <c r="Z335" s="710"/>
      <c r="AA335" s="710"/>
      <c r="AB335" s="710"/>
      <c r="AC335" s="710"/>
      <c r="AD335" s="710"/>
      <c r="AE335" s="710"/>
      <c r="AF335" s="710"/>
      <c r="AG335" s="710"/>
      <c r="AH335" s="710"/>
      <c r="AI335" s="710"/>
      <c r="AJ335" s="710"/>
      <c r="AK335" s="710"/>
      <c r="AL335" s="710"/>
      <c r="AM335" s="710"/>
      <c r="AN335" s="710"/>
      <c r="AO335" s="710"/>
      <c r="AP335" s="710"/>
    </row>
    <row r="336" spans="2:42">
      <c r="B336" s="710"/>
      <c r="C336" s="710"/>
      <c r="D336" s="710"/>
      <c r="E336" s="710"/>
      <c r="F336" s="710"/>
      <c r="G336" s="710"/>
      <c r="H336" s="710"/>
      <c r="I336" s="710"/>
      <c r="J336" s="710"/>
      <c r="K336" s="710"/>
      <c r="L336" s="710"/>
      <c r="M336" s="710"/>
      <c r="N336" s="710"/>
      <c r="O336" s="710"/>
      <c r="P336" s="710"/>
      <c r="Q336" s="710"/>
      <c r="R336" s="710"/>
      <c r="S336" s="710"/>
      <c r="T336" s="710"/>
      <c r="U336" s="710"/>
      <c r="V336" s="710"/>
      <c r="W336" s="710"/>
      <c r="X336" s="710"/>
      <c r="Y336" s="710"/>
      <c r="Z336" s="710"/>
      <c r="AA336" s="710"/>
      <c r="AB336" s="710"/>
      <c r="AC336" s="710"/>
      <c r="AD336" s="710"/>
      <c r="AE336" s="710"/>
      <c r="AF336" s="710"/>
      <c r="AG336" s="710"/>
      <c r="AH336" s="710"/>
      <c r="AI336" s="710"/>
      <c r="AJ336" s="710"/>
      <c r="AK336" s="710"/>
      <c r="AL336" s="710"/>
      <c r="AM336" s="710"/>
      <c r="AN336" s="710"/>
      <c r="AO336" s="710"/>
      <c r="AP336" s="710"/>
    </row>
    <row r="337" spans="2:42">
      <c r="B337" s="710"/>
      <c r="C337" s="710"/>
      <c r="D337" s="710"/>
      <c r="E337" s="710"/>
      <c r="F337" s="710"/>
      <c r="G337" s="710"/>
      <c r="H337" s="710"/>
      <c r="I337" s="710"/>
      <c r="J337" s="710"/>
      <c r="K337" s="710"/>
      <c r="L337" s="710"/>
      <c r="M337" s="710"/>
      <c r="N337" s="710"/>
      <c r="O337" s="710"/>
      <c r="P337" s="710"/>
      <c r="Q337" s="710"/>
      <c r="R337" s="710"/>
      <c r="S337" s="710"/>
      <c r="T337" s="710"/>
      <c r="U337" s="710"/>
      <c r="V337" s="710"/>
      <c r="W337" s="710"/>
      <c r="X337" s="710"/>
      <c r="Y337" s="710"/>
      <c r="Z337" s="710"/>
      <c r="AA337" s="710"/>
      <c r="AB337" s="710"/>
      <c r="AC337" s="710"/>
      <c r="AD337" s="710"/>
      <c r="AE337" s="710"/>
      <c r="AF337" s="710"/>
      <c r="AG337" s="710"/>
      <c r="AH337" s="710"/>
      <c r="AI337" s="710"/>
      <c r="AJ337" s="710"/>
      <c r="AK337" s="710"/>
      <c r="AL337" s="710"/>
      <c r="AM337" s="710"/>
      <c r="AN337" s="710"/>
      <c r="AO337" s="710"/>
      <c r="AP337" s="710"/>
    </row>
    <row r="338" spans="2:42">
      <c r="B338" s="710"/>
      <c r="C338" s="710"/>
      <c r="D338" s="710"/>
      <c r="E338" s="710"/>
      <c r="F338" s="710"/>
      <c r="G338" s="710"/>
      <c r="H338" s="710"/>
      <c r="I338" s="710"/>
      <c r="J338" s="710"/>
      <c r="K338" s="710"/>
      <c r="L338" s="710"/>
      <c r="M338" s="710"/>
      <c r="N338" s="710"/>
      <c r="O338" s="710"/>
      <c r="P338" s="710"/>
      <c r="Q338" s="710"/>
      <c r="R338" s="710"/>
      <c r="S338" s="710"/>
      <c r="T338" s="710"/>
      <c r="U338" s="710"/>
      <c r="V338" s="710"/>
      <c r="W338" s="710"/>
      <c r="X338" s="710"/>
      <c r="Y338" s="710"/>
      <c r="Z338" s="710"/>
      <c r="AA338" s="710"/>
      <c r="AB338" s="710"/>
      <c r="AC338" s="710"/>
      <c r="AD338" s="710"/>
      <c r="AE338" s="710"/>
      <c r="AF338" s="710"/>
      <c r="AG338" s="710"/>
      <c r="AH338" s="710"/>
      <c r="AI338" s="710"/>
      <c r="AJ338" s="710"/>
      <c r="AK338" s="710"/>
      <c r="AL338" s="710"/>
      <c r="AM338" s="710"/>
      <c r="AN338" s="710"/>
      <c r="AO338" s="710"/>
      <c r="AP338" s="710"/>
    </row>
    <row r="339" spans="2:42">
      <c r="B339" s="710"/>
      <c r="C339" s="710"/>
      <c r="D339" s="710"/>
      <c r="E339" s="710"/>
      <c r="F339" s="710"/>
      <c r="G339" s="710"/>
      <c r="H339" s="710"/>
      <c r="I339" s="710"/>
      <c r="J339" s="710"/>
      <c r="K339" s="710"/>
      <c r="L339" s="710"/>
      <c r="M339" s="710"/>
      <c r="N339" s="710"/>
      <c r="O339" s="710"/>
      <c r="P339" s="710"/>
      <c r="Q339" s="710"/>
      <c r="R339" s="710"/>
      <c r="S339" s="710"/>
      <c r="T339" s="710"/>
      <c r="U339" s="710"/>
      <c r="V339" s="710"/>
      <c r="W339" s="710"/>
      <c r="X339" s="710"/>
      <c r="Y339" s="710"/>
      <c r="Z339" s="710"/>
      <c r="AA339" s="710"/>
      <c r="AB339" s="710"/>
      <c r="AC339" s="710"/>
      <c r="AD339" s="710"/>
      <c r="AE339" s="710"/>
      <c r="AF339" s="710"/>
      <c r="AG339" s="710"/>
      <c r="AH339" s="710"/>
      <c r="AI339" s="710"/>
      <c r="AJ339" s="710"/>
      <c r="AK339" s="710"/>
      <c r="AL339" s="710"/>
      <c r="AM339" s="710"/>
      <c r="AN339" s="710"/>
      <c r="AO339" s="710"/>
      <c r="AP339" s="710"/>
    </row>
    <row r="340" spans="2:42">
      <c r="B340" s="710"/>
      <c r="C340" s="710"/>
      <c r="D340" s="710"/>
      <c r="E340" s="710"/>
      <c r="F340" s="710"/>
      <c r="G340" s="710"/>
      <c r="H340" s="710"/>
      <c r="I340" s="710"/>
      <c r="J340" s="710"/>
      <c r="K340" s="710"/>
      <c r="L340" s="710"/>
      <c r="M340" s="710"/>
      <c r="N340" s="710"/>
      <c r="O340" s="710"/>
      <c r="P340" s="710"/>
      <c r="Q340" s="710"/>
      <c r="R340" s="710"/>
      <c r="S340" s="710"/>
      <c r="T340" s="710"/>
      <c r="U340" s="710"/>
      <c r="V340" s="710"/>
      <c r="W340" s="710"/>
      <c r="X340" s="710"/>
      <c r="Y340" s="710"/>
      <c r="Z340" s="710"/>
      <c r="AA340" s="710"/>
      <c r="AB340" s="710"/>
      <c r="AC340" s="710"/>
      <c r="AD340" s="710"/>
      <c r="AE340" s="710"/>
      <c r="AF340" s="710"/>
      <c r="AG340" s="710"/>
      <c r="AH340" s="710"/>
      <c r="AI340" s="710"/>
      <c r="AJ340" s="710"/>
      <c r="AK340" s="710"/>
      <c r="AL340" s="710"/>
      <c r="AM340" s="710"/>
      <c r="AN340" s="710"/>
      <c r="AO340" s="710"/>
      <c r="AP340" s="710"/>
    </row>
    <row r="341" spans="2:42">
      <c r="B341" s="710"/>
      <c r="C341" s="710"/>
      <c r="D341" s="710"/>
      <c r="E341" s="710"/>
      <c r="F341" s="710"/>
      <c r="G341" s="710"/>
      <c r="H341" s="710"/>
      <c r="I341" s="710"/>
      <c r="J341" s="710"/>
      <c r="K341" s="710"/>
      <c r="L341" s="710"/>
      <c r="M341" s="710"/>
      <c r="N341" s="710"/>
      <c r="O341" s="710"/>
      <c r="P341" s="710"/>
      <c r="Q341" s="710"/>
      <c r="R341" s="710"/>
      <c r="S341" s="710"/>
      <c r="T341" s="710"/>
      <c r="U341" s="710"/>
      <c r="V341" s="710"/>
      <c r="W341" s="710"/>
      <c r="X341" s="710"/>
      <c r="Y341" s="710"/>
      <c r="Z341" s="710"/>
      <c r="AA341" s="710"/>
      <c r="AB341" s="710"/>
      <c r="AC341" s="710"/>
      <c r="AD341" s="710"/>
      <c r="AE341" s="710"/>
      <c r="AF341" s="710"/>
      <c r="AG341" s="710"/>
      <c r="AH341" s="710"/>
      <c r="AI341" s="710"/>
      <c r="AJ341" s="710"/>
      <c r="AK341" s="710"/>
      <c r="AL341" s="710"/>
      <c r="AM341" s="710"/>
      <c r="AN341" s="710"/>
      <c r="AO341" s="710"/>
      <c r="AP341" s="710"/>
    </row>
    <row r="342" spans="2:42">
      <c r="B342" s="710"/>
      <c r="C342" s="710"/>
      <c r="D342" s="710"/>
      <c r="E342" s="710"/>
      <c r="F342" s="710"/>
      <c r="G342" s="710"/>
      <c r="H342" s="710"/>
      <c r="I342" s="710"/>
      <c r="J342" s="710"/>
      <c r="K342" s="710"/>
      <c r="L342" s="710"/>
      <c r="M342" s="710"/>
      <c r="N342" s="710"/>
      <c r="O342" s="710"/>
      <c r="P342" s="710"/>
      <c r="Q342" s="710"/>
      <c r="R342" s="710"/>
      <c r="S342" s="710"/>
      <c r="T342" s="710"/>
      <c r="U342" s="710"/>
      <c r="V342" s="710"/>
      <c r="W342" s="710"/>
      <c r="X342" s="710"/>
      <c r="Y342" s="710"/>
      <c r="Z342" s="710"/>
      <c r="AA342" s="710"/>
      <c r="AB342" s="710"/>
      <c r="AC342" s="710"/>
      <c r="AD342" s="710"/>
      <c r="AE342" s="710"/>
      <c r="AF342" s="710"/>
      <c r="AG342" s="710"/>
      <c r="AH342" s="710"/>
      <c r="AI342" s="710"/>
      <c r="AJ342" s="710"/>
      <c r="AK342" s="710"/>
      <c r="AL342" s="710"/>
      <c r="AM342" s="710"/>
      <c r="AN342" s="710"/>
      <c r="AO342" s="710"/>
      <c r="AP342" s="710"/>
    </row>
    <row r="343" spans="2:42">
      <c r="B343" s="710"/>
      <c r="C343" s="710"/>
      <c r="D343" s="710"/>
      <c r="E343" s="710"/>
      <c r="F343" s="710"/>
      <c r="G343" s="710"/>
      <c r="H343" s="710"/>
      <c r="I343" s="710"/>
      <c r="J343" s="710"/>
      <c r="K343" s="710"/>
      <c r="L343" s="710"/>
      <c r="M343" s="710"/>
      <c r="N343" s="710"/>
      <c r="O343" s="710"/>
      <c r="P343" s="710"/>
      <c r="Q343" s="710"/>
      <c r="R343" s="710"/>
      <c r="S343" s="710"/>
      <c r="T343" s="710"/>
      <c r="U343" s="710"/>
      <c r="V343" s="710"/>
      <c r="W343" s="710"/>
      <c r="X343" s="710"/>
      <c r="Y343" s="710"/>
      <c r="Z343" s="710"/>
      <c r="AA343" s="710"/>
      <c r="AB343" s="710"/>
      <c r="AC343" s="710"/>
      <c r="AD343" s="710"/>
      <c r="AE343" s="710"/>
      <c r="AF343" s="710"/>
      <c r="AG343" s="710"/>
      <c r="AH343" s="710"/>
      <c r="AI343" s="710"/>
      <c r="AJ343" s="710"/>
      <c r="AK343" s="710"/>
      <c r="AL343" s="710"/>
      <c r="AM343" s="710"/>
      <c r="AN343" s="710"/>
      <c r="AO343" s="710"/>
      <c r="AP343" s="710"/>
    </row>
    <row r="344" spans="2:42">
      <c r="B344" s="710"/>
      <c r="C344" s="710"/>
      <c r="D344" s="710"/>
      <c r="E344" s="710"/>
      <c r="F344" s="710"/>
      <c r="G344" s="710"/>
      <c r="H344" s="710"/>
      <c r="I344" s="710"/>
      <c r="J344" s="710"/>
      <c r="K344" s="710"/>
      <c r="L344" s="710"/>
      <c r="M344" s="710"/>
      <c r="N344" s="710"/>
      <c r="O344" s="710"/>
      <c r="P344" s="710"/>
      <c r="Q344" s="710"/>
      <c r="R344" s="710"/>
      <c r="S344" s="710"/>
      <c r="T344" s="710"/>
      <c r="U344" s="710"/>
      <c r="V344" s="710"/>
      <c r="W344" s="710"/>
      <c r="X344" s="710"/>
      <c r="Y344" s="710"/>
      <c r="Z344" s="710"/>
      <c r="AA344" s="710"/>
      <c r="AB344" s="710"/>
      <c r="AC344" s="710"/>
      <c r="AD344" s="710"/>
      <c r="AE344" s="710"/>
      <c r="AF344" s="710"/>
      <c r="AG344" s="710"/>
      <c r="AH344" s="710"/>
      <c r="AI344" s="710"/>
      <c r="AJ344" s="710"/>
      <c r="AK344" s="710"/>
      <c r="AL344" s="710"/>
      <c r="AM344" s="710"/>
      <c r="AN344" s="710"/>
      <c r="AO344" s="710"/>
      <c r="AP344" s="710"/>
    </row>
    <row r="345" spans="2:42">
      <c r="B345" s="710"/>
      <c r="C345" s="710"/>
      <c r="D345" s="710"/>
      <c r="E345" s="710"/>
      <c r="F345" s="710"/>
      <c r="G345" s="710"/>
      <c r="H345" s="710"/>
      <c r="I345" s="710"/>
      <c r="J345" s="710"/>
      <c r="K345" s="710"/>
      <c r="L345" s="710"/>
      <c r="M345" s="710"/>
      <c r="N345" s="710"/>
      <c r="O345" s="710"/>
      <c r="P345" s="710"/>
      <c r="Q345" s="710"/>
      <c r="R345" s="710"/>
      <c r="S345" s="710"/>
      <c r="T345" s="710"/>
      <c r="U345" s="710"/>
      <c r="V345" s="710"/>
      <c r="W345" s="710"/>
      <c r="X345" s="710"/>
      <c r="Y345" s="710"/>
      <c r="Z345" s="710"/>
      <c r="AA345" s="710"/>
      <c r="AB345" s="710"/>
      <c r="AC345" s="710"/>
      <c r="AD345" s="710"/>
      <c r="AE345" s="710"/>
      <c r="AF345" s="710"/>
      <c r="AG345" s="710"/>
      <c r="AH345" s="710"/>
      <c r="AI345" s="710"/>
      <c r="AJ345" s="710"/>
      <c r="AK345" s="710"/>
      <c r="AL345" s="710"/>
      <c r="AM345" s="710"/>
      <c r="AN345" s="710"/>
      <c r="AO345" s="710"/>
      <c r="AP345" s="710"/>
    </row>
    <row r="346" spans="2:42">
      <c r="B346" s="710"/>
      <c r="C346" s="710"/>
      <c r="D346" s="710"/>
      <c r="E346" s="710"/>
      <c r="F346" s="710"/>
      <c r="G346" s="710"/>
      <c r="H346" s="710"/>
      <c r="I346" s="710"/>
      <c r="J346" s="710"/>
      <c r="K346" s="710"/>
      <c r="L346" s="710"/>
      <c r="M346" s="710"/>
      <c r="N346" s="710"/>
      <c r="O346" s="710"/>
      <c r="P346" s="710"/>
      <c r="Q346" s="710"/>
      <c r="R346" s="710"/>
      <c r="S346" s="710"/>
      <c r="T346" s="710"/>
      <c r="U346" s="710"/>
      <c r="V346" s="710"/>
      <c r="W346" s="710"/>
      <c r="X346" s="710"/>
      <c r="Y346" s="710"/>
      <c r="Z346" s="710"/>
      <c r="AA346" s="710"/>
      <c r="AB346" s="710"/>
      <c r="AC346" s="710"/>
      <c r="AD346" s="710"/>
      <c r="AE346" s="710"/>
      <c r="AF346" s="710"/>
      <c r="AG346" s="710"/>
      <c r="AH346" s="710"/>
      <c r="AI346" s="710"/>
      <c r="AJ346" s="710"/>
      <c r="AK346" s="710"/>
      <c r="AL346" s="710"/>
      <c r="AM346" s="710"/>
      <c r="AN346" s="710"/>
      <c r="AO346" s="710"/>
      <c r="AP346" s="710"/>
    </row>
    <row r="347" spans="2:42">
      <c r="B347" s="710"/>
      <c r="C347" s="710"/>
      <c r="D347" s="710"/>
      <c r="E347" s="710"/>
      <c r="F347" s="710"/>
      <c r="G347" s="710"/>
      <c r="H347" s="710"/>
      <c r="I347" s="710"/>
      <c r="J347" s="710"/>
      <c r="K347" s="710"/>
      <c r="L347" s="710"/>
      <c r="M347" s="710"/>
      <c r="N347" s="710"/>
      <c r="O347" s="710"/>
      <c r="P347" s="710"/>
      <c r="Q347" s="710"/>
      <c r="R347" s="710"/>
      <c r="S347" s="710"/>
      <c r="T347" s="710"/>
      <c r="U347" s="710"/>
      <c r="V347" s="710"/>
      <c r="W347" s="710"/>
      <c r="X347" s="710"/>
      <c r="Y347" s="710"/>
      <c r="Z347" s="710"/>
      <c r="AA347" s="710"/>
      <c r="AB347" s="710"/>
      <c r="AC347" s="710"/>
      <c r="AD347" s="710"/>
      <c r="AE347" s="710"/>
      <c r="AF347" s="710"/>
      <c r="AG347" s="710"/>
      <c r="AH347" s="710"/>
      <c r="AI347" s="710"/>
      <c r="AJ347" s="710"/>
      <c r="AK347" s="710"/>
      <c r="AL347" s="710"/>
      <c r="AM347" s="710"/>
      <c r="AN347" s="710"/>
      <c r="AO347" s="710"/>
      <c r="AP347" s="710"/>
    </row>
    <row r="348" spans="2:42">
      <c r="B348" s="710"/>
      <c r="C348" s="710"/>
      <c r="D348" s="710"/>
      <c r="E348" s="710"/>
      <c r="F348" s="710"/>
      <c r="G348" s="710"/>
      <c r="H348" s="710"/>
      <c r="I348" s="710"/>
      <c r="J348" s="710"/>
      <c r="K348" s="710"/>
      <c r="L348" s="710"/>
      <c r="M348" s="710"/>
      <c r="N348" s="710"/>
      <c r="O348" s="710"/>
      <c r="P348" s="710"/>
      <c r="Q348" s="710"/>
      <c r="R348" s="710"/>
      <c r="S348" s="710"/>
      <c r="T348" s="710"/>
      <c r="U348" s="710"/>
      <c r="V348" s="710"/>
      <c r="W348" s="710"/>
      <c r="X348" s="710"/>
      <c r="Y348" s="710"/>
      <c r="Z348" s="710"/>
      <c r="AA348" s="710"/>
      <c r="AB348" s="710"/>
      <c r="AC348" s="710"/>
      <c r="AD348" s="710"/>
      <c r="AE348" s="710"/>
      <c r="AF348" s="710"/>
      <c r="AG348" s="710"/>
      <c r="AH348" s="710"/>
      <c r="AI348" s="710"/>
      <c r="AJ348" s="710"/>
      <c r="AK348" s="710"/>
      <c r="AL348" s="710"/>
      <c r="AM348" s="710"/>
      <c r="AN348" s="710"/>
      <c r="AO348" s="710"/>
      <c r="AP348" s="710"/>
    </row>
    <row r="349" spans="2:42">
      <c r="B349" s="710"/>
      <c r="C349" s="710"/>
      <c r="D349" s="710"/>
      <c r="E349" s="710"/>
      <c r="F349" s="710"/>
      <c r="G349" s="710"/>
      <c r="H349" s="710"/>
      <c r="I349" s="710"/>
      <c r="J349" s="710"/>
      <c r="K349" s="710"/>
      <c r="L349" s="710"/>
      <c r="M349" s="710"/>
      <c r="N349" s="710"/>
      <c r="O349" s="710"/>
      <c r="P349" s="710"/>
      <c r="Q349" s="710"/>
      <c r="R349" s="710"/>
      <c r="S349" s="710"/>
      <c r="T349" s="710"/>
      <c r="U349" s="710"/>
      <c r="V349" s="710"/>
      <c r="W349" s="710"/>
      <c r="X349" s="710"/>
      <c r="Y349" s="710"/>
      <c r="Z349" s="710"/>
      <c r="AA349" s="710"/>
      <c r="AB349" s="710"/>
      <c r="AC349" s="710"/>
      <c r="AD349" s="710"/>
      <c r="AE349" s="710"/>
      <c r="AF349" s="710"/>
      <c r="AG349" s="710"/>
      <c r="AH349" s="710"/>
      <c r="AI349" s="710"/>
      <c r="AJ349" s="710"/>
      <c r="AK349" s="710"/>
      <c r="AL349" s="710"/>
      <c r="AM349" s="710"/>
      <c r="AN349" s="710"/>
      <c r="AO349" s="710"/>
      <c r="AP349" s="710"/>
    </row>
    <row r="350" spans="2:42">
      <c r="B350" s="710"/>
      <c r="C350" s="710"/>
      <c r="D350" s="710"/>
      <c r="E350" s="710"/>
      <c r="F350" s="710"/>
      <c r="G350" s="710"/>
      <c r="H350" s="710"/>
      <c r="I350" s="710"/>
      <c r="J350" s="710"/>
      <c r="K350" s="710"/>
      <c r="L350" s="710"/>
      <c r="M350" s="710"/>
      <c r="N350" s="710"/>
      <c r="O350" s="710"/>
      <c r="P350" s="710"/>
      <c r="Q350" s="710"/>
      <c r="R350" s="710"/>
      <c r="S350" s="710"/>
      <c r="T350" s="710"/>
      <c r="U350" s="710"/>
      <c r="V350" s="710"/>
      <c r="W350" s="710"/>
      <c r="X350" s="710"/>
      <c r="Y350" s="710"/>
      <c r="Z350" s="710"/>
      <c r="AA350" s="710"/>
      <c r="AB350" s="710"/>
      <c r="AC350" s="710"/>
      <c r="AD350" s="710"/>
      <c r="AE350" s="710"/>
      <c r="AF350" s="710"/>
      <c r="AG350" s="710"/>
      <c r="AH350" s="710"/>
      <c r="AI350" s="710"/>
      <c r="AJ350" s="710"/>
      <c r="AK350" s="710"/>
      <c r="AL350" s="710"/>
      <c r="AM350" s="710"/>
      <c r="AN350" s="710"/>
      <c r="AO350" s="710"/>
      <c r="AP350" s="710"/>
    </row>
    <row r="351" spans="2:42">
      <c r="B351" s="710"/>
      <c r="C351" s="710"/>
      <c r="D351" s="710"/>
      <c r="E351" s="710"/>
      <c r="F351" s="710"/>
      <c r="G351" s="710"/>
      <c r="H351" s="710"/>
      <c r="I351" s="710"/>
      <c r="J351" s="710"/>
      <c r="K351" s="710"/>
      <c r="L351" s="710"/>
      <c r="M351" s="710"/>
      <c r="N351" s="710"/>
      <c r="O351" s="710"/>
      <c r="P351" s="710"/>
      <c r="Q351" s="710"/>
      <c r="R351" s="710"/>
      <c r="S351" s="710"/>
      <c r="T351" s="710"/>
      <c r="U351" s="710"/>
      <c r="V351" s="710"/>
      <c r="W351" s="710"/>
      <c r="X351" s="710"/>
      <c r="Y351" s="710"/>
      <c r="Z351" s="710"/>
      <c r="AA351" s="710"/>
      <c r="AB351" s="710"/>
      <c r="AC351" s="710"/>
      <c r="AD351" s="710"/>
      <c r="AE351" s="710"/>
      <c r="AF351" s="710"/>
      <c r="AG351" s="710"/>
      <c r="AH351" s="710"/>
      <c r="AI351" s="710"/>
      <c r="AJ351" s="710"/>
      <c r="AK351" s="710"/>
      <c r="AL351" s="710"/>
      <c r="AM351" s="710"/>
      <c r="AN351" s="710"/>
      <c r="AO351" s="710"/>
      <c r="AP351" s="710"/>
    </row>
    <row r="352" spans="2:42">
      <c r="B352" s="710"/>
      <c r="C352" s="710"/>
      <c r="D352" s="710"/>
      <c r="E352" s="710"/>
      <c r="F352" s="710"/>
      <c r="G352" s="710"/>
      <c r="H352" s="710"/>
      <c r="I352" s="710"/>
      <c r="J352" s="710"/>
      <c r="K352" s="710"/>
      <c r="L352" s="710"/>
      <c r="M352" s="710"/>
      <c r="N352" s="710"/>
      <c r="O352" s="710"/>
      <c r="P352" s="710"/>
      <c r="Q352" s="710"/>
      <c r="R352" s="710"/>
      <c r="S352" s="710"/>
      <c r="T352" s="710"/>
      <c r="U352" s="710"/>
      <c r="V352" s="710"/>
      <c r="W352" s="710"/>
      <c r="X352" s="710"/>
      <c r="Y352" s="710"/>
      <c r="Z352" s="710"/>
      <c r="AA352" s="710"/>
      <c r="AB352" s="710"/>
      <c r="AC352" s="710"/>
      <c r="AD352" s="710"/>
      <c r="AE352" s="710"/>
      <c r="AF352" s="710"/>
      <c r="AG352" s="710"/>
      <c r="AH352" s="710"/>
      <c r="AI352" s="710"/>
      <c r="AJ352" s="710"/>
      <c r="AK352" s="710"/>
      <c r="AL352" s="710"/>
      <c r="AM352" s="710"/>
      <c r="AN352" s="710"/>
      <c r="AO352" s="710"/>
      <c r="AP352" s="710"/>
    </row>
    <row r="353" spans="2:42">
      <c r="B353" s="710"/>
      <c r="C353" s="710"/>
      <c r="D353" s="710"/>
      <c r="E353" s="710"/>
      <c r="F353" s="710"/>
      <c r="G353" s="710"/>
      <c r="H353" s="710"/>
      <c r="I353" s="710"/>
      <c r="J353" s="710"/>
      <c r="K353" s="710"/>
      <c r="L353" s="710"/>
      <c r="M353" s="710"/>
      <c r="N353" s="710"/>
      <c r="O353" s="710"/>
      <c r="P353" s="710"/>
      <c r="Q353" s="710"/>
      <c r="R353" s="710"/>
      <c r="S353" s="710"/>
      <c r="T353" s="710"/>
      <c r="U353" s="710"/>
      <c r="V353" s="710"/>
      <c r="W353" s="710"/>
      <c r="X353" s="710"/>
      <c r="Y353" s="710"/>
      <c r="Z353" s="710"/>
      <c r="AA353" s="710"/>
      <c r="AB353" s="710"/>
      <c r="AC353" s="710"/>
      <c r="AD353" s="710"/>
      <c r="AE353" s="710"/>
      <c r="AF353" s="710"/>
      <c r="AG353" s="710"/>
      <c r="AH353" s="710"/>
      <c r="AI353" s="710"/>
      <c r="AJ353" s="710"/>
      <c r="AK353" s="710"/>
      <c r="AL353" s="710"/>
      <c r="AM353" s="710"/>
      <c r="AN353" s="710"/>
      <c r="AO353" s="710"/>
      <c r="AP353" s="710"/>
    </row>
    <row r="354" spans="2:42">
      <c r="B354" s="710"/>
      <c r="C354" s="710"/>
      <c r="D354" s="710"/>
      <c r="E354" s="710"/>
      <c r="F354" s="710"/>
      <c r="G354" s="710"/>
      <c r="H354" s="710"/>
      <c r="I354" s="710"/>
      <c r="J354" s="710"/>
      <c r="K354" s="710"/>
      <c r="L354" s="710"/>
      <c r="M354" s="710"/>
      <c r="N354" s="710"/>
      <c r="O354" s="710"/>
      <c r="P354" s="710"/>
      <c r="Q354" s="710"/>
      <c r="R354" s="710"/>
      <c r="S354" s="710"/>
      <c r="T354" s="710"/>
      <c r="U354" s="710"/>
      <c r="V354" s="710"/>
      <c r="W354" s="710"/>
      <c r="X354" s="710"/>
      <c r="Y354" s="710"/>
      <c r="Z354" s="710"/>
      <c r="AA354" s="710"/>
      <c r="AB354" s="710"/>
      <c r="AC354" s="710"/>
      <c r="AD354" s="710"/>
      <c r="AE354" s="710"/>
      <c r="AF354" s="710"/>
      <c r="AG354" s="710"/>
      <c r="AH354" s="710"/>
      <c r="AI354" s="710"/>
      <c r="AJ354" s="710"/>
      <c r="AK354" s="710"/>
      <c r="AL354" s="710"/>
      <c r="AM354" s="710"/>
      <c r="AN354" s="710"/>
      <c r="AO354" s="710"/>
      <c r="AP354" s="710"/>
    </row>
    <row r="355" spans="2:42">
      <c r="B355" s="710"/>
      <c r="C355" s="710"/>
      <c r="D355" s="710"/>
      <c r="E355" s="710"/>
      <c r="F355" s="710"/>
      <c r="G355" s="710"/>
      <c r="H355" s="710"/>
      <c r="I355" s="710"/>
      <c r="J355" s="710"/>
      <c r="K355" s="710"/>
      <c r="L355" s="710"/>
      <c r="M355" s="710"/>
      <c r="N355" s="710"/>
      <c r="O355" s="710"/>
      <c r="P355" s="710"/>
      <c r="Q355" s="710"/>
      <c r="R355" s="710"/>
      <c r="S355" s="710"/>
      <c r="T355" s="710"/>
      <c r="U355" s="710"/>
      <c r="V355" s="710"/>
      <c r="W355" s="710"/>
      <c r="X355" s="710"/>
      <c r="Y355" s="710"/>
      <c r="Z355" s="710"/>
      <c r="AA355" s="710"/>
      <c r="AB355" s="710"/>
      <c r="AC355" s="710"/>
      <c r="AD355" s="710"/>
      <c r="AE355" s="710"/>
      <c r="AF355" s="710"/>
      <c r="AG355" s="710"/>
      <c r="AH355" s="710"/>
      <c r="AI355" s="710"/>
      <c r="AJ355" s="710"/>
      <c r="AK355" s="710"/>
      <c r="AL355" s="710"/>
      <c r="AM355" s="710"/>
      <c r="AN355" s="710"/>
      <c r="AO355" s="710"/>
      <c r="AP355" s="710"/>
    </row>
    <row r="356" spans="2:42">
      <c r="B356" s="710"/>
      <c r="C356" s="710"/>
      <c r="D356" s="710"/>
      <c r="E356" s="710"/>
      <c r="F356" s="710"/>
      <c r="G356" s="710"/>
      <c r="H356" s="710"/>
      <c r="I356" s="710"/>
      <c r="J356" s="710"/>
      <c r="K356" s="710"/>
      <c r="L356" s="710"/>
      <c r="M356" s="710"/>
      <c r="N356" s="710"/>
      <c r="O356" s="710"/>
      <c r="P356" s="710"/>
      <c r="Q356" s="710"/>
      <c r="R356" s="710"/>
      <c r="S356" s="710"/>
      <c r="T356" s="710"/>
      <c r="U356" s="710"/>
      <c r="V356" s="710"/>
      <c r="W356" s="710"/>
      <c r="X356" s="710"/>
      <c r="Y356" s="710"/>
      <c r="Z356" s="710"/>
      <c r="AA356" s="710"/>
      <c r="AB356" s="710"/>
      <c r="AC356" s="710"/>
      <c r="AD356" s="710"/>
      <c r="AE356" s="710"/>
      <c r="AF356" s="710"/>
      <c r="AG356" s="710"/>
      <c r="AH356" s="710"/>
      <c r="AI356" s="710"/>
      <c r="AJ356" s="710"/>
      <c r="AK356" s="710"/>
      <c r="AL356" s="710"/>
      <c r="AM356" s="710"/>
      <c r="AN356" s="710"/>
      <c r="AO356" s="710"/>
      <c r="AP356" s="710"/>
    </row>
    <row r="357" spans="2:42">
      <c r="B357" s="710"/>
      <c r="C357" s="710"/>
      <c r="D357" s="710"/>
      <c r="E357" s="710"/>
      <c r="F357" s="710"/>
      <c r="G357" s="710"/>
      <c r="H357" s="710"/>
      <c r="I357" s="710"/>
      <c r="J357" s="710"/>
      <c r="K357" s="710"/>
      <c r="L357" s="710"/>
      <c r="M357" s="710"/>
      <c r="N357" s="710"/>
      <c r="O357" s="710"/>
      <c r="P357" s="710"/>
      <c r="Q357" s="710"/>
      <c r="R357" s="710"/>
      <c r="S357" s="710"/>
      <c r="T357" s="710"/>
      <c r="U357" s="710"/>
      <c r="V357" s="710"/>
      <c r="W357" s="710"/>
      <c r="X357" s="710"/>
      <c r="Y357" s="710"/>
      <c r="Z357" s="710"/>
      <c r="AA357" s="710"/>
      <c r="AB357" s="710"/>
      <c r="AC357" s="710"/>
      <c r="AD357" s="710"/>
      <c r="AE357" s="710"/>
      <c r="AF357" s="710"/>
      <c r="AG357" s="710"/>
      <c r="AH357" s="710"/>
      <c r="AI357" s="710"/>
      <c r="AJ357" s="710"/>
      <c r="AK357" s="710"/>
      <c r="AL357" s="710"/>
      <c r="AM357" s="710"/>
      <c r="AN357" s="710"/>
      <c r="AO357" s="710"/>
      <c r="AP357" s="710"/>
    </row>
    <row r="358" spans="2:42">
      <c r="B358" s="710"/>
      <c r="C358" s="710"/>
      <c r="D358" s="710"/>
      <c r="E358" s="710"/>
      <c r="F358" s="710"/>
      <c r="G358" s="710"/>
      <c r="H358" s="710"/>
      <c r="I358" s="710"/>
      <c r="J358" s="710"/>
      <c r="K358" s="710"/>
      <c r="L358" s="710"/>
      <c r="M358" s="710"/>
      <c r="N358" s="710"/>
      <c r="O358" s="710"/>
      <c r="P358" s="710"/>
      <c r="Q358" s="710"/>
      <c r="R358" s="710"/>
      <c r="S358" s="710"/>
      <c r="T358" s="710"/>
      <c r="U358" s="710"/>
      <c r="V358" s="710"/>
      <c r="W358" s="710"/>
      <c r="X358" s="710"/>
      <c r="Y358" s="710"/>
      <c r="Z358" s="710"/>
      <c r="AA358" s="710"/>
      <c r="AB358" s="710"/>
      <c r="AC358" s="710"/>
      <c r="AD358" s="710"/>
      <c r="AE358" s="710"/>
      <c r="AF358" s="710"/>
      <c r="AG358" s="710"/>
      <c r="AH358" s="710"/>
      <c r="AI358" s="710"/>
      <c r="AJ358" s="710"/>
      <c r="AK358" s="710"/>
      <c r="AL358" s="710"/>
      <c r="AM358" s="710"/>
      <c r="AN358" s="710"/>
      <c r="AO358" s="710"/>
      <c r="AP358" s="710"/>
    </row>
    <row r="359" spans="2:42">
      <c r="B359" s="710"/>
      <c r="C359" s="710"/>
      <c r="D359" s="710"/>
      <c r="E359" s="710"/>
      <c r="F359" s="710"/>
      <c r="G359" s="710"/>
      <c r="H359" s="710"/>
      <c r="I359" s="710"/>
      <c r="J359" s="710"/>
      <c r="K359" s="710"/>
      <c r="L359" s="710"/>
      <c r="M359" s="710"/>
      <c r="N359" s="710"/>
      <c r="O359" s="710"/>
      <c r="P359" s="710"/>
      <c r="Q359" s="710"/>
      <c r="R359" s="710"/>
      <c r="S359" s="710"/>
      <c r="T359" s="710"/>
      <c r="U359" s="710"/>
      <c r="V359" s="710"/>
      <c r="W359" s="710"/>
      <c r="X359" s="710"/>
      <c r="Y359" s="710"/>
      <c r="Z359" s="710"/>
      <c r="AA359" s="710"/>
      <c r="AB359" s="710"/>
      <c r="AC359" s="710"/>
      <c r="AD359" s="710"/>
      <c r="AE359" s="710"/>
      <c r="AF359" s="710"/>
      <c r="AG359" s="710"/>
      <c r="AH359" s="710"/>
      <c r="AI359" s="710"/>
      <c r="AJ359" s="710"/>
      <c r="AK359" s="710"/>
      <c r="AL359" s="710"/>
      <c r="AM359" s="710"/>
      <c r="AN359" s="710"/>
      <c r="AO359" s="710"/>
      <c r="AP359" s="710"/>
    </row>
    <row r="360" spans="2:42">
      <c r="B360" s="710"/>
      <c r="C360" s="710"/>
      <c r="D360" s="710"/>
      <c r="E360" s="710"/>
      <c r="F360" s="710"/>
      <c r="G360" s="710"/>
      <c r="H360" s="710"/>
      <c r="I360" s="710"/>
      <c r="J360" s="710"/>
      <c r="K360" s="710"/>
      <c r="L360" s="710"/>
      <c r="M360" s="710"/>
      <c r="N360" s="710"/>
      <c r="O360" s="710"/>
      <c r="P360" s="710"/>
      <c r="Q360" s="710"/>
      <c r="R360" s="710"/>
      <c r="S360" s="710"/>
      <c r="T360" s="710"/>
      <c r="U360" s="710"/>
      <c r="V360" s="710"/>
      <c r="W360" s="710"/>
      <c r="X360" s="710"/>
      <c r="Y360" s="710"/>
      <c r="Z360" s="710"/>
      <c r="AA360" s="710"/>
      <c r="AB360" s="710"/>
      <c r="AC360" s="710"/>
      <c r="AD360" s="710"/>
      <c r="AE360" s="710"/>
      <c r="AF360" s="710"/>
      <c r="AG360" s="710"/>
      <c r="AH360" s="710"/>
      <c r="AI360" s="710"/>
      <c r="AJ360" s="710"/>
      <c r="AK360" s="710"/>
      <c r="AL360" s="710"/>
      <c r="AM360" s="710"/>
      <c r="AN360" s="710"/>
      <c r="AO360" s="710"/>
      <c r="AP360" s="710"/>
    </row>
    <row r="361" spans="2:42">
      <c r="B361" s="710"/>
      <c r="C361" s="710"/>
      <c r="D361" s="710"/>
      <c r="E361" s="710"/>
      <c r="F361" s="710"/>
      <c r="G361" s="710"/>
      <c r="H361" s="710"/>
      <c r="I361" s="710"/>
      <c r="J361" s="710"/>
      <c r="K361" s="710"/>
      <c r="L361" s="710"/>
      <c r="M361" s="710"/>
      <c r="N361" s="710"/>
      <c r="O361" s="710"/>
      <c r="P361" s="710"/>
      <c r="Q361" s="710"/>
      <c r="R361" s="710"/>
      <c r="S361" s="710"/>
      <c r="T361" s="710"/>
      <c r="U361" s="710"/>
      <c r="V361" s="710"/>
      <c r="W361" s="710"/>
      <c r="X361" s="710"/>
      <c r="Y361" s="710"/>
      <c r="Z361" s="710"/>
      <c r="AA361" s="710"/>
      <c r="AB361" s="710"/>
      <c r="AC361" s="710"/>
      <c r="AD361" s="710"/>
      <c r="AE361" s="710"/>
      <c r="AF361" s="710"/>
      <c r="AG361" s="710"/>
      <c r="AH361" s="710"/>
      <c r="AI361" s="710"/>
      <c r="AJ361" s="710"/>
      <c r="AK361" s="710"/>
      <c r="AL361" s="710"/>
      <c r="AM361" s="710"/>
      <c r="AN361" s="710"/>
      <c r="AO361" s="710"/>
      <c r="AP361" s="710"/>
    </row>
    <row r="362" spans="2:42">
      <c r="B362" s="710"/>
      <c r="C362" s="710"/>
      <c r="D362" s="710"/>
      <c r="E362" s="710"/>
      <c r="F362" s="710"/>
      <c r="G362" s="710"/>
      <c r="H362" s="710"/>
      <c r="I362" s="710"/>
      <c r="J362" s="710"/>
      <c r="K362" s="710"/>
      <c r="L362" s="710"/>
      <c r="M362" s="710"/>
      <c r="N362" s="710"/>
      <c r="O362" s="710"/>
      <c r="P362" s="710"/>
      <c r="Q362" s="710"/>
      <c r="R362" s="710"/>
      <c r="S362" s="710"/>
      <c r="T362" s="710"/>
      <c r="U362" s="710"/>
      <c r="V362" s="710"/>
      <c r="W362" s="710"/>
      <c r="X362" s="710"/>
      <c r="Y362" s="710"/>
      <c r="Z362" s="710"/>
      <c r="AA362" s="710"/>
      <c r="AB362" s="710"/>
      <c r="AC362" s="710"/>
      <c r="AD362" s="710"/>
      <c r="AE362" s="710"/>
      <c r="AF362" s="710"/>
      <c r="AG362" s="710"/>
      <c r="AH362" s="710"/>
      <c r="AI362" s="710"/>
      <c r="AJ362" s="710"/>
      <c r="AK362" s="710"/>
      <c r="AL362" s="710"/>
      <c r="AM362" s="710"/>
      <c r="AN362" s="710"/>
      <c r="AO362" s="710"/>
      <c r="AP362" s="710"/>
    </row>
    <row r="363" spans="2:42">
      <c r="B363" s="710"/>
      <c r="C363" s="710"/>
      <c r="D363" s="710"/>
      <c r="E363" s="710"/>
      <c r="F363" s="710"/>
      <c r="G363" s="710"/>
      <c r="H363" s="710"/>
      <c r="I363" s="710"/>
      <c r="J363" s="710"/>
      <c r="K363" s="710"/>
      <c r="L363" s="710"/>
      <c r="M363" s="710"/>
      <c r="N363" s="710"/>
      <c r="O363" s="710"/>
      <c r="P363" s="710"/>
      <c r="Q363" s="710"/>
      <c r="R363" s="710"/>
      <c r="S363" s="710"/>
      <c r="T363" s="710"/>
      <c r="U363" s="710"/>
      <c r="V363" s="710"/>
      <c r="W363" s="710"/>
      <c r="X363" s="710"/>
      <c r="Y363" s="710"/>
      <c r="Z363" s="710"/>
      <c r="AA363" s="710"/>
      <c r="AB363" s="710"/>
      <c r="AC363" s="710"/>
      <c r="AD363" s="710"/>
      <c r="AE363" s="710"/>
      <c r="AF363" s="710"/>
      <c r="AG363" s="710"/>
      <c r="AH363" s="710"/>
      <c r="AI363" s="710"/>
      <c r="AJ363" s="710"/>
      <c r="AK363" s="710"/>
      <c r="AL363" s="710"/>
      <c r="AM363" s="710"/>
      <c r="AN363" s="710"/>
      <c r="AO363" s="710"/>
      <c r="AP363" s="710"/>
    </row>
    <row r="364" spans="2:42">
      <c r="B364" s="710"/>
      <c r="C364" s="710"/>
      <c r="D364" s="710"/>
      <c r="E364" s="710"/>
      <c r="F364" s="710"/>
      <c r="G364" s="710"/>
      <c r="H364" s="710"/>
      <c r="I364" s="710"/>
      <c r="J364" s="710"/>
      <c r="K364" s="710"/>
      <c r="L364" s="710"/>
      <c r="M364" s="710"/>
      <c r="N364" s="710"/>
      <c r="O364" s="710"/>
      <c r="P364" s="710"/>
      <c r="Q364" s="710"/>
      <c r="R364" s="710"/>
      <c r="S364" s="710"/>
      <c r="T364" s="710"/>
      <c r="U364" s="710"/>
      <c r="V364" s="710"/>
      <c r="W364" s="710"/>
      <c r="X364" s="710"/>
      <c r="Y364" s="710"/>
      <c r="Z364" s="710"/>
      <c r="AA364" s="710"/>
      <c r="AB364" s="710"/>
      <c r="AC364" s="710"/>
      <c r="AD364" s="710"/>
      <c r="AE364" s="710"/>
      <c r="AF364" s="710"/>
      <c r="AG364" s="710"/>
      <c r="AH364" s="710"/>
      <c r="AI364" s="710"/>
      <c r="AJ364" s="710"/>
      <c r="AK364" s="710"/>
      <c r="AL364" s="710"/>
      <c r="AM364" s="710"/>
      <c r="AN364" s="710"/>
      <c r="AO364" s="710"/>
      <c r="AP364" s="710"/>
    </row>
    <row r="365" spans="2:42">
      <c r="B365" s="710"/>
      <c r="C365" s="710"/>
      <c r="D365" s="710"/>
      <c r="E365" s="710"/>
      <c r="F365" s="710"/>
      <c r="G365" s="710"/>
      <c r="H365" s="710"/>
      <c r="I365" s="710"/>
      <c r="J365" s="710"/>
      <c r="K365" s="710"/>
      <c r="L365" s="710"/>
      <c r="M365" s="710"/>
      <c r="N365" s="710"/>
      <c r="O365" s="710"/>
      <c r="P365" s="710"/>
      <c r="Q365" s="710"/>
      <c r="R365" s="710"/>
      <c r="S365" s="710"/>
      <c r="T365" s="710"/>
      <c r="U365" s="710"/>
      <c r="V365" s="710"/>
      <c r="W365" s="710"/>
      <c r="X365" s="710"/>
      <c r="Y365" s="710"/>
      <c r="Z365" s="710"/>
      <c r="AA365" s="710"/>
      <c r="AB365" s="710"/>
      <c r="AC365" s="710"/>
      <c r="AD365" s="710"/>
      <c r="AE365" s="710"/>
      <c r="AF365" s="710"/>
      <c r="AG365" s="710"/>
      <c r="AH365" s="710"/>
      <c r="AI365" s="710"/>
      <c r="AJ365" s="710"/>
      <c r="AK365" s="710"/>
      <c r="AL365" s="710"/>
      <c r="AM365" s="710"/>
      <c r="AN365" s="710"/>
      <c r="AO365" s="710"/>
      <c r="AP365" s="710"/>
    </row>
    <row r="366" spans="2:42">
      <c r="B366" s="710"/>
      <c r="C366" s="710"/>
      <c r="D366" s="710"/>
      <c r="E366" s="710"/>
      <c r="F366" s="710"/>
      <c r="G366" s="710"/>
      <c r="H366" s="710"/>
      <c r="I366" s="710"/>
      <c r="J366" s="710"/>
      <c r="K366" s="710"/>
      <c r="L366" s="710"/>
      <c r="M366" s="710"/>
      <c r="N366" s="710"/>
      <c r="O366" s="710"/>
      <c r="P366" s="710"/>
      <c r="Q366" s="710"/>
      <c r="R366" s="710"/>
      <c r="S366" s="710"/>
      <c r="T366" s="710"/>
      <c r="U366" s="710"/>
      <c r="V366" s="710"/>
      <c r="W366" s="710"/>
      <c r="X366" s="710"/>
      <c r="Y366" s="710"/>
      <c r="Z366" s="710"/>
      <c r="AA366" s="710"/>
      <c r="AB366" s="710"/>
      <c r="AC366" s="710"/>
      <c r="AD366" s="710"/>
      <c r="AE366" s="710"/>
      <c r="AF366" s="710"/>
      <c r="AG366" s="710"/>
      <c r="AH366" s="710"/>
      <c r="AI366" s="710"/>
      <c r="AJ366" s="710"/>
      <c r="AK366" s="710"/>
      <c r="AL366" s="710"/>
      <c r="AM366" s="710"/>
      <c r="AN366" s="710"/>
      <c r="AO366" s="710"/>
      <c r="AP366" s="710"/>
    </row>
    <row r="367" spans="2:42">
      <c r="B367" s="710"/>
      <c r="C367" s="710"/>
      <c r="D367" s="710"/>
      <c r="E367" s="710"/>
      <c r="F367" s="710"/>
      <c r="G367" s="710"/>
      <c r="H367" s="710"/>
      <c r="I367" s="710"/>
      <c r="J367" s="710"/>
      <c r="K367" s="710"/>
      <c r="L367" s="710"/>
      <c r="M367" s="710"/>
      <c r="N367" s="710"/>
      <c r="O367" s="710"/>
      <c r="P367" s="710"/>
      <c r="Q367" s="710"/>
      <c r="R367" s="710"/>
      <c r="S367" s="710"/>
      <c r="T367" s="710"/>
      <c r="U367" s="710"/>
      <c r="V367" s="710"/>
      <c r="W367" s="710"/>
      <c r="X367" s="710"/>
      <c r="Y367" s="710"/>
      <c r="Z367" s="710"/>
      <c r="AA367" s="710"/>
      <c r="AB367" s="710"/>
      <c r="AC367" s="710"/>
      <c r="AD367" s="710"/>
      <c r="AE367" s="710"/>
      <c r="AF367" s="710"/>
      <c r="AG367" s="710"/>
      <c r="AH367" s="710"/>
      <c r="AI367" s="710"/>
      <c r="AJ367" s="710"/>
      <c r="AK367" s="710"/>
      <c r="AL367" s="710"/>
      <c r="AM367" s="710"/>
      <c r="AN367" s="710"/>
      <c r="AO367" s="710"/>
      <c r="AP367" s="710"/>
    </row>
    <row r="368" spans="2:42">
      <c r="B368" s="710"/>
      <c r="C368" s="710"/>
      <c r="D368" s="710"/>
      <c r="E368" s="710"/>
      <c r="F368" s="710"/>
      <c r="G368" s="710"/>
      <c r="H368" s="710"/>
      <c r="I368" s="710"/>
      <c r="J368" s="710"/>
      <c r="K368" s="710"/>
      <c r="L368" s="710"/>
      <c r="M368" s="710"/>
      <c r="N368" s="710"/>
      <c r="O368" s="710"/>
      <c r="P368" s="710"/>
      <c r="Q368" s="710"/>
      <c r="R368" s="710"/>
      <c r="S368" s="710"/>
      <c r="T368" s="710"/>
      <c r="U368" s="710"/>
      <c r="V368" s="710"/>
      <c r="W368" s="710"/>
      <c r="X368" s="710"/>
      <c r="Y368" s="710"/>
      <c r="Z368" s="710"/>
      <c r="AA368" s="710"/>
      <c r="AB368" s="710"/>
      <c r="AC368" s="710"/>
      <c r="AD368" s="710"/>
      <c r="AE368" s="710"/>
      <c r="AF368" s="710"/>
      <c r="AG368" s="710"/>
      <c r="AH368" s="710"/>
      <c r="AI368" s="710"/>
      <c r="AJ368" s="710"/>
      <c r="AK368" s="710"/>
      <c r="AL368" s="710"/>
      <c r="AM368" s="710"/>
      <c r="AN368" s="710"/>
      <c r="AO368" s="710"/>
      <c r="AP368" s="710"/>
    </row>
    <row r="369" spans="2:42">
      <c r="B369" s="710"/>
      <c r="C369" s="710"/>
      <c r="D369" s="710"/>
      <c r="E369" s="710"/>
      <c r="F369" s="710"/>
      <c r="G369" s="710"/>
      <c r="H369" s="710"/>
      <c r="I369" s="710"/>
      <c r="J369" s="710"/>
      <c r="K369" s="710"/>
      <c r="L369" s="710"/>
      <c r="M369" s="710"/>
      <c r="N369" s="710"/>
      <c r="O369" s="710"/>
      <c r="P369" s="710"/>
      <c r="Q369" s="710"/>
      <c r="R369" s="710"/>
      <c r="S369" s="710"/>
      <c r="T369" s="710"/>
      <c r="U369" s="710"/>
      <c r="V369" s="710"/>
      <c r="W369" s="710"/>
      <c r="X369" s="710"/>
      <c r="Y369" s="710"/>
      <c r="Z369" s="710"/>
      <c r="AA369" s="710"/>
      <c r="AB369" s="710"/>
      <c r="AC369" s="710"/>
      <c r="AD369" s="710"/>
      <c r="AE369" s="710"/>
      <c r="AF369" s="710"/>
      <c r="AG369" s="710"/>
      <c r="AH369" s="710"/>
      <c r="AI369" s="710"/>
      <c r="AJ369" s="710"/>
      <c r="AK369" s="710"/>
      <c r="AL369" s="710"/>
      <c r="AM369" s="710"/>
      <c r="AN369" s="710"/>
      <c r="AO369" s="710"/>
      <c r="AP369" s="710"/>
    </row>
    <row r="370" spans="2:42">
      <c r="B370" s="710"/>
      <c r="C370" s="710"/>
      <c r="D370" s="710"/>
      <c r="E370" s="710"/>
      <c r="F370" s="710"/>
      <c r="G370" s="710"/>
      <c r="H370" s="710"/>
      <c r="I370" s="710"/>
      <c r="J370" s="710"/>
      <c r="K370" s="710"/>
      <c r="L370" s="710"/>
      <c r="M370" s="710"/>
      <c r="N370" s="710"/>
      <c r="O370" s="710"/>
      <c r="P370" s="710"/>
      <c r="Q370" s="710"/>
      <c r="R370" s="710"/>
      <c r="S370" s="710"/>
      <c r="T370" s="710"/>
      <c r="U370" s="710"/>
      <c r="V370" s="710"/>
      <c r="W370" s="710"/>
      <c r="X370" s="710"/>
      <c r="Y370" s="710"/>
      <c r="Z370" s="710"/>
      <c r="AA370" s="710"/>
      <c r="AB370" s="710"/>
      <c r="AC370" s="710"/>
      <c r="AD370" s="710"/>
      <c r="AE370" s="710"/>
      <c r="AF370" s="710"/>
      <c r="AG370" s="710"/>
      <c r="AH370" s="710"/>
      <c r="AI370" s="710"/>
      <c r="AJ370" s="710"/>
      <c r="AK370" s="710"/>
      <c r="AL370" s="710"/>
      <c r="AM370" s="710"/>
      <c r="AN370" s="710"/>
      <c r="AO370" s="710"/>
      <c r="AP370" s="710"/>
    </row>
    <row r="371" spans="2:42">
      <c r="B371" s="710"/>
      <c r="C371" s="710"/>
      <c r="D371" s="710"/>
      <c r="E371" s="710"/>
      <c r="F371" s="710"/>
      <c r="G371" s="710"/>
      <c r="H371" s="710"/>
      <c r="I371" s="710"/>
      <c r="J371" s="710"/>
      <c r="K371" s="710"/>
      <c r="L371" s="710"/>
      <c r="M371" s="710"/>
      <c r="N371" s="710"/>
      <c r="O371" s="710"/>
      <c r="P371" s="710"/>
      <c r="Q371" s="710"/>
      <c r="R371" s="710"/>
      <c r="S371" s="710"/>
      <c r="T371" s="710"/>
      <c r="U371" s="710"/>
      <c r="V371" s="710"/>
      <c r="W371" s="710"/>
      <c r="X371" s="710"/>
      <c r="Y371" s="710"/>
      <c r="Z371" s="710"/>
      <c r="AA371" s="710"/>
      <c r="AB371" s="710"/>
      <c r="AC371" s="710"/>
      <c r="AD371" s="710"/>
      <c r="AE371" s="710"/>
      <c r="AF371" s="710"/>
      <c r="AG371" s="710"/>
      <c r="AH371" s="710"/>
      <c r="AI371" s="710"/>
      <c r="AJ371" s="710"/>
      <c r="AK371" s="710"/>
      <c r="AL371" s="710"/>
      <c r="AM371" s="710"/>
      <c r="AN371" s="710"/>
      <c r="AO371" s="710"/>
      <c r="AP371" s="710"/>
    </row>
    <row r="372" spans="2:42">
      <c r="B372" s="710"/>
      <c r="C372" s="710"/>
      <c r="D372" s="710"/>
      <c r="E372" s="710"/>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710"/>
      <c r="AF372" s="710"/>
      <c r="AG372" s="710"/>
      <c r="AH372" s="710"/>
      <c r="AI372" s="710"/>
      <c r="AJ372" s="710"/>
      <c r="AK372" s="710"/>
      <c r="AL372" s="710"/>
      <c r="AM372" s="710"/>
      <c r="AN372" s="710"/>
      <c r="AO372" s="710"/>
      <c r="AP372" s="710"/>
    </row>
    <row r="373" spans="2:42">
      <c r="B373" s="710"/>
      <c r="C373" s="710"/>
      <c r="D373" s="710"/>
      <c r="E373" s="710"/>
      <c r="F373" s="710"/>
      <c r="G373" s="710"/>
      <c r="H373" s="710"/>
      <c r="I373" s="710"/>
      <c r="J373" s="710"/>
      <c r="K373" s="710"/>
      <c r="L373" s="710"/>
      <c r="M373" s="710"/>
      <c r="N373" s="710"/>
      <c r="O373" s="710"/>
      <c r="P373" s="710"/>
      <c r="Q373" s="710"/>
      <c r="R373" s="710"/>
      <c r="S373" s="710"/>
      <c r="T373" s="710"/>
      <c r="U373" s="710"/>
      <c r="V373" s="710"/>
      <c r="W373" s="710"/>
      <c r="X373" s="710"/>
      <c r="Y373" s="710"/>
      <c r="Z373" s="710"/>
      <c r="AA373" s="710"/>
      <c r="AB373" s="710"/>
      <c r="AC373" s="710"/>
      <c r="AD373" s="710"/>
      <c r="AE373" s="710"/>
      <c r="AF373" s="710"/>
      <c r="AG373" s="710"/>
      <c r="AH373" s="710"/>
      <c r="AI373" s="710"/>
      <c r="AJ373" s="710"/>
      <c r="AK373" s="710"/>
      <c r="AL373" s="710"/>
      <c r="AM373" s="710"/>
      <c r="AN373" s="710"/>
      <c r="AO373" s="710"/>
      <c r="AP373" s="710"/>
    </row>
    <row r="374" spans="2:42">
      <c r="B374" s="710"/>
      <c r="C374" s="710"/>
      <c r="D374" s="710"/>
      <c r="E374" s="710"/>
      <c r="F374" s="710"/>
      <c r="G374" s="710"/>
      <c r="H374" s="710"/>
      <c r="I374" s="710"/>
      <c r="J374" s="710"/>
      <c r="K374" s="710"/>
      <c r="L374" s="710"/>
      <c r="M374" s="710"/>
      <c r="N374" s="710"/>
      <c r="O374" s="710"/>
      <c r="P374" s="710"/>
      <c r="Q374" s="710"/>
      <c r="R374" s="710"/>
      <c r="S374" s="710"/>
      <c r="T374" s="710"/>
      <c r="U374" s="710"/>
      <c r="V374" s="710"/>
      <c r="W374" s="710"/>
      <c r="X374" s="710"/>
      <c r="Y374" s="710"/>
      <c r="Z374" s="710"/>
      <c r="AA374" s="710"/>
      <c r="AB374" s="710"/>
      <c r="AC374" s="710"/>
      <c r="AD374" s="710"/>
      <c r="AE374" s="710"/>
      <c r="AF374" s="710"/>
      <c r="AG374" s="710"/>
      <c r="AH374" s="710"/>
      <c r="AI374" s="710"/>
      <c r="AJ374" s="710"/>
      <c r="AK374" s="710"/>
      <c r="AL374" s="710"/>
      <c r="AM374" s="710"/>
      <c r="AN374" s="710"/>
      <c r="AO374" s="710"/>
      <c r="AP374" s="710"/>
    </row>
    <row r="375" spans="2:42">
      <c r="B375" s="710"/>
      <c r="C375" s="710"/>
      <c r="D375" s="710"/>
      <c r="E375" s="710"/>
      <c r="F375" s="710"/>
      <c r="G375" s="710"/>
      <c r="H375" s="710"/>
      <c r="I375" s="710"/>
      <c r="J375" s="710"/>
      <c r="K375" s="710"/>
      <c r="L375" s="710"/>
      <c r="M375" s="710"/>
      <c r="N375" s="710"/>
      <c r="O375" s="710"/>
      <c r="P375" s="710"/>
      <c r="Q375" s="710"/>
      <c r="R375" s="710"/>
      <c r="S375" s="710"/>
      <c r="T375" s="710"/>
      <c r="U375" s="710"/>
      <c r="V375" s="710"/>
      <c r="W375" s="710"/>
      <c r="X375" s="710"/>
      <c r="Y375" s="710"/>
      <c r="Z375" s="710"/>
      <c r="AA375" s="710"/>
      <c r="AB375" s="710"/>
      <c r="AC375" s="710"/>
      <c r="AD375" s="710"/>
      <c r="AE375" s="710"/>
      <c r="AF375" s="710"/>
      <c r="AG375" s="710"/>
      <c r="AH375" s="710"/>
      <c r="AI375" s="710"/>
      <c r="AJ375" s="710"/>
      <c r="AK375" s="710"/>
      <c r="AL375" s="710"/>
      <c r="AM375" s="710"/>
      <c r="AN375" s="710"/>
      <c r="AO375" s="710"/>
      <c r="AP375" s="710"/>
    </row>
    <row r="376" spans="2:42">
      <c r="B376" s="710"/>
      <c r="C376" s="710"/>
      <c r="D376" s="710"/>
      <c r="E376" s="710"/>
      <c r="F376" s="710"/>
      <c r="G376" s="710"/>
      <c r="H376" s="710"/>
      <c r="I376" s="710"/>
      <c r="J376" s="710"/>
      <c r="K376" s="710"/>
      <c r="L376" s="710"/>
      <c r="M376" s="710"/>
      <c r="N376" s="710"/>
      <c r="O376" s="710"/>
      <c r="P376" s="710"/>
      <c r="Q376" s="710"/>
      <c r="R376" s="710"/>
      <c r="S376" s="710"/>
      <c r="T376" s="710"/>
      <c r="U376" s="710"/>
      <c r="V376" s="710"/>
      <c r="W376" s="710"/>
      <c r="X376" s="710"/>
      <c r="Y376" s="710"/>
      <c r="Z376" s="710"/>
      <c r="AA376" s="710"/>
      <c r="AB376" s="710"/>
      <c r="AC376" s="710"/>
      <c r="AD376" s="710"/>
      <c r="AE376" s="710"/>
      <c r="AF376" s="710"/>
      <c r="AG376" s="710"/>
      <c r="AH376" s="710"/>
      <c r="AI376" s="710"/>
      <c r="AJ376" s="710"/>
      <c r="AK376" s="710"/>
      <c r="AL376" s="710"/>
      <c r="AM376" s="710"/>
      <c r="AN376" s="710"/>
      <c r="AO376" s="710"/>
      <c r="AP376" s="710"/>
    </row>
    <row r="377" spans="2:42">
      <c r="B377" s="710"/>
      <c r="C377" s="710"/>
      <c r="D377" s="710"/>
      <c r="E377" s="710"/>
      <c r="F377" s="710"/>
      <c r="G377" s="710"/>
      <c r="H377" s="710"/>
      <c r="I377" s="710"/>
      <c r="J377" s="710"/>
      <c r="K377" s="710"/>
      <c r="L377" s="710"/>
      <c r="M377" s="710"/>
      <c r="N377" s="710"/>
      <c r="O377" s="710"/>
      <c r="P377" s="710"/>
      <c r="Q377" s="710"/>
      <c r="R377" s="710"/>
      <c r="S377" s="710"/>
      <c r="T377" s="710"/>
      <c r="U377" s="710"/>
      <c r="V377" s="710"/>
      <c r="W377" s="710"/>
      <c r="X377" s="710"/>
      <c r="Y377" s="710"/>
      <c r="Z377" s="710"/>
      <c r="AA377" s="710"/>
      <c r="AB377" s="710"/>
      <c r="AC377" s="710"/>
      <c r="AD377" s="710"/>
      <c r="AE377" s="710"/>
      <c r="AF377" s="710"/>
      <c r="AG377" s="710"/>
      <c r="AH377" s="710"/>
      <c r="AI377" s="710"/>
      <c r="AJ377" s="710"/>
      <c r="AK377" s="710"/>
      <c r="AL377" s="710"/>
      <c r="AM377" s="710"/>
      <c r="AN377" s="710"/>
      <c r="AO377" s="710"/>
      <c r="AP377" s="710"/>
    </row>
    <row r="378" spans="2:42">
      <c r="B378" s="710"/>
      <c r="C378" s="710"/>
      <c r="D378" s="710"/>
      <c r="E378" s="710"/>
      <c r="F378" s="710"/>
      <c r="G378" s="710"/>
      <c r="H378" s="710"/>
      <c r="I378" s="710"/>
      <c r="J378" s="710"/>
      <c r="K378" s="710"/>
      <c r="L378" s="710"/>
      <c r="M378" s="710"/>
      <c r="N378" s="710"/>
      <c r="O378" s="710"/>
      <c r="P378" s="710"/>
      <c r="Q378" s="710"/>
      <c r="R378" s="710"/>
      <c r="S378" s="710"/>
      <c r="T378" s="710"/>
      <c r="U378" s="710"/>
      <c r="V378" s="710"/>
      <c r="W378" s="710"/>
      <c r="X378" s="710"/>
      <c r="Y378" s="710"/>
      <c r="Z378" s="710"/>
      <c r="AA378" s="710"/>
      <c r="AB378" s="710"/>
      <c r="AC378" s="710"/>
      <c r="AD378" s="710"/>
      <c r="AE378" s="710"/>
      <c r="AF378" s="710"/>
      <c r="AG378" s="710"/>
      <c r="AH378" s="710"/>
      <c r="AI378" s="710"/>
      <c r="AJ378" s="710"/>
      <c r="AK378" s="710"/>
      <c r="AL378" s="710"/>
      <c r="AM378" s="710"/>
      <c r="AN378" s="710"/>
      <c r="AO378" s="710"/>
      <c r="AP378" s="710"/>
    </row>
    <row r="379" spans="2:42">
      <c r="B379" s="710"/>
      <c r="C379" s="710"/>
      <c r="D379" s="710"/>
      <c r="E379" s="710"/>
      <c r="F379" s="710"/>
      <c r="G379" s="710"/>
      <c r="H379" s="710"/>
      <c r="I379" s="710"/>
      <c r="J379" s="710"/>
      <c r="K379" s="710"/>
      <c r="L379" s="710"/>
      <c r="M379" s="710"/>
      <c r="N379" s="710"/>
      <c r="O379" s="710"/>
      <c r="P379" s="710"/>
      <c r="Q379" s="710"/>
      <c r="R379" s="710"/>
      <c r="S379" s="710"/>
      <c r="T379" s="710"/>
      <c r="U379" s="710"/>
      <c r="V379" s="710"/>
      <c r="W379" s="710"/>
      <c r="X379" s="710"/>
      <c r="Y379" s="710"/>
      <c r="Z379" s="710"/>
      <c r="AA379" s="710"/>
      <c r="AB379" s="710"/>
      <c r="AC379" s="710"/>
      <c r="AD379" s="710"/>
      <c r="AE379" s="710"/>
      <c r="AF379" s="710"/>
      <c r="AG379" s="710"/>
      <c r="AH379" s="710"/>
      <c r="AI379" s="710"/>
      <c r="AJ379" s="710"/>
      <c r="AK379" s="710"/>
      <c r="AL379" s="710"/>
      <c r="AM379" s="710"/>
      <c r="AN379" s="710"/>
      <c r="AO379" s="710"/>
      <c r="AP379" s="710"/>
    </row>
    <row r="380" spans="2:42">
      <c r="B380" s="710"/>
      <c r="C380" s="710"/>
      <c r="D380" s="710"/>
      <c r="E380" s="710"/>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710"/>
      <c r="AF380" s="710"/>
      <c r="AG380" s="710"/>
      <c r="AH380" s="710"/>
      <c r="AI380" s="710"/>
      <c r="AJ380" s="710"/>
      <c r="AK380" s="710"/>
      <c r="AL380" s="710"/>
      <c r="AM380" s="710"/>
      <c r="AN380" s="710"/>
      <c r="AO380" s="710"/>
      <c r="AP380" s="710"/>
    </row>
    <row r="381" spans="2:42">
      <c r="B381" s="710"/>
      <c r="C381" s="710"/>
      <c r="D381" s="710"/>
      <c r="E381" s="710"/>
      <c r="F381" s="710"/>
      <c r="G381" s="710"/>
      <c r="H381" s="710"/>
      <c r="I381" s="710"/>
      <c r="J381" s="710"/>
      <c r="K381" s="710"/>
      <c r="L381" s="710"/>
      <c r="M381" s="710"/>
      <c r="N381" s="710"/>
      <c r="O381" s="710"/>
      <c r="P381" s="710"/>
      <c r="Q381" s="710"/>
      <c r="R381" s="710"/>
      <c r="S381" s="710"/>
      <c r="T381" s="710"/>
      <c r="U381" s="710"/>
      <c r="V381" s="710"/>
      <c r="W381" s="710"/>
      <c r="X381" s="710"/>
      <c r="Y381" s="710"/>
      <c r="Z381" s="710"/>
      <c r="AA381" s="710"/>
      <c r="AB381" s="710"/>
      <c r="AC381" s="710"/>
      <c r="AD381" s="710"/>
      <c r="AE381" s="710"/>
      <c r="AF381" s="710"/>
      <c r="AG381" s="710"/>
      <c r="AH381" s="710"/>
      <c r="AI381" s="710"/>
      <c r="AJ381" s="710"/>
      <c r="AK381" s="710"/>
      <c r="AL381" s="710"/>
      <c r="AM381" s="710"/>
      <c r="AN381" s="710"/>
      <c r="AO381" s="710"/>
      <c r="AP381" s="710"/>
    </row>
    <row r="382" spans="2:42">
      <c r="B382" s="710"/>
      <c r="C382" s="710"/>
      <c r="D382" s="710"/>
      <c r="E382" s="710"/>
      <c r="F382" s="710"/>
      <c r="G382" s="710"/>
      <c r="H382" s="710"/>
      <c r="I382" s="710"/>
      <c r="J382" s="710"/>
      <c r="K382" s="710"/>
      <c r="L382" s="710"/>
      <c r="M382" s="710"/>
      <c r="N382" s="710"/>
      <c r="O382" s="710"/>
      <c r="P382" s="710"/>
      <c r="Q382" s="710"/>
      <c r="R382" s="710"/>
      <c r="S382" s="710"/>
      <c r="T382" s="710"/>
      <c r="U382" s="710"/>
      <c r="V382" s="710"/>
      <c r="W382" s="710"/>
      <c r="X382" s="710"/>
      <c r="Y382" s="710"/>
      <c r="Z382" s="710"/>
      <c r="AA382" s="710"/>
      <c r="AB382" s="710"/>
      <c r="AC382" s="710"/>
      <c r="AD382" s="710"/>
      <c r="AE382" s="710"/>
      <c r="AF382" s="710"/>
      <c r="AG382" s="710"/>
      <c r="AH382" s="710"/>
      <c r="AI382" s="710"/>
      <c r="AJ382" s="710"/>
      <c r="AK382" s="710"/>
      <c r="AL382" s="710"/>
      <c r="AM382" s="710"/>
      <c r="AN382" s="710"/>
      <c r="AO382" s="710"/>
      <c r="AP382" s="710"/>
    </row>
    <row r="383" spans="2:42">
      <c r="B383" s="710"/>
      <c r="C383" s="710"/>
      <c r="D383" s="710"/>
      <c r="E383" s="710"/>
      <c r="F383" s="710"/>
      <c r="G383" s="710"/>
      <c r="H383" s="710"/>
      <c r="I383" s="710"/>
      <c r="J383" s="710"/>
      <c r="K383" s="710"/>
      <c r="L383" s="710"/>
      <c r="M383" s="710"/>
      <c r="N383" s="710"/>
      <c r="O383" s="710"/>
      <c r="P383" s="710"/>
      <c r="Q383" s="710"/>
      <c r="R383" s="710"/>
      <c r="S383" s="710"/>
      <c r="T383" s="710"/>
      <c r="U383" s="710"/>
      <c r="V383" s="710"/>
      <c r="W383" s="710"/>
      <c r="X383" s="710"/>
      <c r="Y383" s="710"/>
      <c r="Z383" s="710"/>
      <c r="AA383" s="710"/>
      <c r="AB383" s="710"/>
      <c r="AC383" s="710"/>
      <c r="AD383" s="710"/>
      <c r="AE383" s="710"/>
      <c r="AF383" s="710"/>
      <c r="AG383" s="710"/>
      <c r="AH383" s="710"/>
      <c r="AI383" s="710"/>
      <c r="AJ383" s="710"/>
      <c r="AK383" s="710"/>
      <c r="AL383" s="710"/>
      <c r="AM383" s="710"/>
      <c r="AN383" s="710"/>
      <c r="AO383" s="710"/>
      <c r="AP383" s="710"/>
    </row>
    <row r="384" spans="2:42">
      <c r="B384" s="710"/>
      <c r="C384" s="710"/>
      <c r="D384" s="710"/>
      <c r="E384" s="710"/>
      <c r="F384" s="710"/>
      <c r="G384" s="710"/>
      <c r="H384" s="710"/>
      <c r="I384" s="710"/>
      <c r="J384" s="710"/>
      <c r="K384" s="710"/>
      <c r="L384" s="710"/>
      <c r="M384" s="710"/>
      <c r="N384" s="710"/>
      <c r="O384" s="710"/>
      <c r="P384" s="710"/>
      <c r="Q384" s="710"/>
      <c r="R384" s="710"/>
      <c r="S384" s="710"/>
      <c r="T384" s="710"/>
      <c r="U384" s="710"/>
      <c r="V384" s="710"/>
      <c r="W384" s="710"/>
      <c r="X384" s="710"/>
      <c r="Y384" s="710"/>
      <c r="Z384" s="710"/>
      <c r="AA384" s="710"/>
      <c r="AB384" s="710"/>
      <c r="AC384" s="710"/>
      <c r="AD384" s="710"/>
      <c r="AE384" s="710"/>
      <c r="AF384" s="710"/>
      <c r="AG384" s="710"/>
      <c r="AH384" s="710"/>
      <c r="AI384" s="710"/>
      <c r="AJ384" s="710"/>
      <c r="AK384" s="710"/>
      <c r="AL384" s="710"/>
      <c r="AM384" s="710"/>
      <c r="AN384" s="710"/>
      <c r="AO384" s="710"/>
      <c r="AP384" s="710"/>
    </row>
    <row r="385" spans="2:42">
      <c r="B385" s="710"/>
      <c r="C385" s="710"/>
      <c r="D385" s="710"/>
      <c r="E385" s="710"/>
      <c r="F385" s="710"/>
      <c r="G385" s="710"/>
      <c r="H385" s="710"/>
      <c r="I385" s="710"/>
      <c r="J385" s="710"/>
      <c r="K385" s="710"/>
      <c r="L385" s="710"/>
      <c r="M385" s="710"/>
      <c r="N385" s="710"/>
      <c r="O385" s="710"/>
      <c r="P385" s="710"/>
      <c r="Q385" s="710"/>
      <c r="R385" s="710"/>
      <c r="S385" s="710"/>
      <c r="T385" s="710"/>
      <c r="U385" s="710"/>
      <c r="V385" s="710"/>
      <c r="W385" s="710"/>
      <c r="X385" s="710"/>
      <c r="Y385" s="710"/>
      <c r="Z385" s="710"/>
      <c r="AA385" s="710"/>
      <c r="AB385" s="710"/>
      <c r="AC385" s="710"/>
      <c r="AD385" s="710"/>
      <c r="AE385" s="710"/>
      <c r="AF385" s="710"/>
      <c r="AG385" s="710"/>
      <c r="AH385" s="710"/>
      <c r="AI385" s="710"/>
      <c r="AJ385" s="710"/>
      <c r="AK385" s="710"/>
      <c r="AL385" s="710"/>
      <c r="AM385" s="710"/>
      <c r="AN385" s="710"/>
      <c r="AO385" s="710"/>
      <c r="AP385" s="710"/>
    </row>
    <row r="386" spans="2:42">
      <c r="B386" s="710"/>
      <c r="C386" s="710"/>
      <c r="D386" s="710"/>
      <c r="E386" s="710"/>
      <c r="F386" s="710"/>
      <c r="G386" s="710"/>
      <c r="H386" s="710"/>
      <c r="I386" s="710"/>
      <c r="J386" s="710"/>
      <c r="K386" s="710"/>
      <c r="L386" s="710"/>
      <c r="M386" s="710"/>
      <c r="N386" s="710"/>
      <c r="O386" s="710"/>
      <c r="P386" s="710"/>
      <c r="Q386" s="710"/>
      <c r="R386" s="710"/>
      <c r="S386" s="710"/>
      <c r="T386" s="710"/>
      <c r="U386" s="710"/>
      <c r="V386" s="710"/>
      <c r="W386" s="710"/>
      <c r="X386" s="710"/>
      <c r="Y386" s="710"/>
      <c r="Z386" s="710"/>
      <c r="AA386" s="710"/>
      <c r="AB386" s="710"/>
      <c r="AC386" s="710"/>
      <c r="AD386" s="710"/>
      <c r="AE386" s="710"/>
      <c r="AF386" s="710"/>
      <c r="AG386" s="710"/>
      <c r="AH386" s="710"/>
      <c r="AI386" s="710"/>
      <c r="AJ386" s="710"/>
      <c r="AK386" s="710"/>
      <c r="AL386" s="710"/>
      <c r="AM386" s="710"/>
      <c r="AN386" s="710"/>
      <c r="AO386" s="710"/>
      <c r="AP386" s="710"/>
    </row>
    <row r="387" spans="2:42">
      <c r="B387" s="710"/>
      <c r="C387" s="710"/>
      <c r="D387" s="710"/>
      <c r="E387" s="710"/>
      <c r="F387" s="710"/>
      <c r="G387" s="710"/>
      <c r="H387" s="710"/>
      <c r="I387" s="710"/>
      <c r="J387" s="710"/>
      <c r="K387" s="710"/>
      <c r="L387" s="710"/>
      <c r="M387" s="710"/>
      <c r="N387" s="710"/>
      <c r="O387" s="710"/>
      <c r="P387" s="710"/>
      <c r="Q387" s="710"/>
      <c r="R387" s="710"/>
      <c r="S387" s="710"/>
      <c r="T387" s="710"/>
      <c r="U387" s="710"/>
      <c r="V387" s="710"/>
      <c r="W387" s="710"/>
      <c r="X387" s="710"/>
      <c r="Y387" s="710"/>
      <c r="Z387" s="710"/>
      <c r="AA387" s="710"/>
      <c r="AB387" s="710"/>
      <c r="AC387" s="710"/>
      <c r="AD387" s="710"/>
      <c r="AE387" s="710"/>
      <c r="AF387" s="710"/>
      <c r="AG387" s="710"/>
      <c r="AH387" s="710"/>
      <c r="AI387" s="710"/>
      <c r="AJ387" s="710"/>
      <c r="AK387" s="710"/>
      <c r="AL387" s="710"/>
      <c r="AM387" s="710"/>
      <c r="AN387" s="710"/>
      <c r="AO387" s="710"/>
      <c r="AP387" s="710"/>
    </row>
    <row r="388" spans="2:42">
      <c r="B388" s="710"/>
      <c r="C388" s="710"/>
      <c r="D388" s="710"/>
      <c r="E388" s="710"/>
      <c r="F388" s="710"/>
      <c r="G388" s="710"/>
      <c r="H388" s="710"/>
      <c r="I388" s="710"/>
      <c r="J388" s="710"/>
      <c r="K388" s="710"/>
      <c r="L388" s="710"/>
      <c r="M388" s="710"/>
      <c r="N388" s="710"/>
      <c r="O388" s="710"/>
      <c r="P388" s="710"/>
      <c r="Q388" s="710"/>
      <c r="R388" s="710"/>
      <c r="S388" s="710"/>
      <c r="T388" s="710"/>
      <c r="U388" s="710"/>
      <c r="V388" s="710"/>
      <c r="W388" s="710"/>
      <c r="X388" s="710"/>
      <c r="Y388" s="710"/>
      <c r="Z388" s="710"/>
      <c r="AA388" s="710"/>
      <c r="AB388" s="710"/>
      <c r="AC388" s="710"/>
      <c r="AD388" s="710"/>
      <c r="AE388" s="710"/>
      <c r="AF388" s="710"/>
      <c r="AG388" s="710"/>
      <c r="AH388" s="710"/>
      <c r="AI388" s="710"/>
      <c r="AJ388" s="710"/>
      <c r="AK388" s="710"/>
      <c r="AL388" s="710"/>
      <c r="AM388" s="710"/>
      <c r="AN388" s="710"/>
      <c r="AO388" s="710"/>
      <c r="AP388" s="710"/>
    </row>
    <row r="389" spans="2:42">
      <c r="B389" s="710"/>
      <c r="C389" s="710"/>
      <c r="D389" s="710"/>
      <c r="E389" s="710"/>
      <c r="F389" s="710"/>
      <c r="G389" s="710"/>
      <c r="H389" s="710"/>
      <c r="I389" s="710"/>
      <c r="J389" s="710"/>
      <c r="K389" s="710"/>
      <c r="L389" s="710"/>
      <c r="M389" s="710"/>
      <c r="N389" s="710"/>
      <c r="O389" s="710"/>
      <c r="P389" s="710"/>
      <c r="Q389" s="710"/>
      <c r="R389" s="710"/>
      <c r="S389" s="710"/>
      <c r="T389" s="710"/>
      <c r="U389" s="710"/>
      <c r="V389" s="710"/>
      <c r="W389" s="710"/>
      <c r="X389" s="710"/>
      <c r="Y389" s="710"/>
      <c r="Z389" s="710"/>
      <c r="AA389" s="710"/>
      <c r="AB389" s="710"/>
      <c r="AC389" s="710"/>
      <c r="AD389" s="710"/>
      <c r="AE389" s="710"/>
      <c r="AF389" s="710"/>
      <c r="AG389" s="710"/>
      <c r="AH389" s="710"/>
      <c r="AI389" s="710"/>
      <c r="AJ389" s="710"/>
      <c r="AK389" s="710"/>
      <c r="AL389" s="710"/>
      <c r="AM389" s="710"/>
      <c r="AN389" s="710"/>
      <c r="AO389" s="710"/>
      <c r="AP389" s="710"/>
    </row>
    <row r="390" spans="2:42">
      <c r="B390" s="710"/>
      <c r="C390" s="710"/>
      <c r="D390" s="710"/>
      <c r="E390" s="710"/>
      <c r="F390" s="710"/>
      <c r="G390" s="710"/>
      <c r="H390" s="710"/>
      <c r="I390" s="710"/>
      <c r="J390" s="710"/>
      <c r="K390" s="710"/>
      <c r="L390" s="710"/>
      <c r="M390" s="710"/>
      <c r="N390" s="710"/>
      <c r="O390" s="710"/>
      <c r="P390" s="710"/>
      <c r="Q390" s="710"/>
      <c r="R390" s="710"/>
      <c r="S390" s="710"/>
      <c r="T390" s="710"/>
      <c r="U390" s="710"/>
      <c r="V390" s="710"/>
      <c r="W390" s="710"/>
      <c r="X390" s="710"/>
      <c r="Y390" s="710"/>
      <c r="Z390" s="710"/>
      <c r="AA390" s="710"/>
      <c r="AB390" s="710"/>
      <c r="AC390" s="710"/>
      <c r="AD390" s="710"/>
      <c r="AE390" s="710"/>
      <c r="AF390" s="710"/>
      <c r="AG390" s="710"/>
      <c r="AH390" s="710"/>
      <c r="AI390" s="710"/>
      <c r="AJ390" s="710"/>
      <c r="AK390" s="710"/>
      <c r="AL390" s="710"/>
      <c r="AM390" s="710"/>
      <c r="AN390" s="710"/>
      <c r="AO390" s="710"/>
      <c r="AP390" s="710"/>
    </row>
    <row r="391" spans="2:42">
      <c r="B391" s="710"/>
      <c r="C391" s="710"/>
      <c r="D391" s="710"/>
      <c r="E391" s="710"/>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710"/>
      <c r="AF391" s="710"/>
      <c r="AG391" s="710"/>
      <c r="AH391" s="710"/>
      <c r="AI391" s="710"/>
      <c r="AJ391" s="710"/>
      <c r="AK391" s="710"/>
      <c r="AL391" s="710"/>
      <c r="AM391" s="710"/>
      <c r="AN391" s="710"/>
      <c r="AO391" s="710"/>
      <c r="AP391" s="710"/>
    </row>
    <row r="392" spans="2:42">
      <c r="B392" s="710"/>
      <c r="C392" s="710"/>
      <c r="D392" s="710"/>
      <c r="E392" s="710"/>
      <c r="F392" s="710"/>
      <c r="G392" s="710"/>
      <c r="H392" s="710"/>
      <c r="I392" s="710"/>
      <c r="J392" s="710"/>
      <c r="K392" s="710"/>
      <c r="L392" s="710"/>
      <c r="M392" s="710"/>
      <c r="N392" s="710"/>
      <c r="O392" s="710"/>
      <c r="P392" s="710"/>
      <c r="Q392" s="710"/>
      <c r="R392" s="710"/>
      <c r="S392" s="710"/>
      <c r="T392" s="710"/>
      <c r="U392" s="710"/>
      <c r="V392" s="710"/>
      <c r="W392" s="710"/>
      <c r="X392" s="710"/>
      <c r="Y392" s="710"/>
      <c r="Z392" s="710"/>
      <c r="AA392" s="710"/>
      <c r="AB392" s="710"/>
      <c r="AC392" s="710"/>
      <c r="AD392" s="710"/>
      <c r="AE392" s="710"/>
      <c r="AF392" s="710"/>
      <c r="AG392" s="710"/>
      <c r="AH392" s="710"/>
      <c r="AI392" s="710"/>
      <c r="AJ392" s="710"/>
      <c r="AK392" s="710"/>
      <c r="AL392" s="710"/>
      <c r="AM392" s="710"/>
      <c r="AN392" s="710"/>
      <c r="AO392" s="710"/>
      <c r="AP392" s="710"/>
    </row>
    <row r="393" spans="2:42">
      <c r="B393" s="710"/>
      <c r="C393" s="710"/>
      <c r="D393" s="710"/>
      <c r="E393" s="710"/>
      <c r="F393" s="710"/>
      <c r="G393" s="710"/>
      <c r="H393" s="710"/>
      <c r="I393" s="710"/>
      <c r="J393" s="710"/>
      <c r="K393" s="710"/>
      <c r="L393" s="710"/>
      <c r="M393" s="710"/>
      <c r="N393" s="710"/>
      <c r="O393" s="710"/>
      <c r="P393" s="710"/>
      <c r="Q393" s="710"/>
      <c r="R393" s="710"/>
      <c r="S393" s="710"/>
      <c r="T393" s="710"/>
      <c r="U393" s="710"/>
      <c r="V393" s="710"/>
      <c r="W393" s="710"/>
      <c r="X393" s="710"/>
      <c r="Y393" s="710"/>
      <c r="Z393" s="710"/>
      <c r="AA393" s="710"/>
      <c r="AB393" s="710"/>
      <c r="AC393" s="710"/>
      <c r="AD393" s="710"/>
      <c r="AE393" s="710"/>
      <c r="AF393" s="710"/>
      <c r="AG393" s="710"/>
      <c r="AH393" s="710"/>
      <c r="AI393" s="710"/>
      <c r="AJ393" s="710"/>
      <c r="AK393" s="710"/>
      <c r="AL393" s="710"/>
      <c r="AM393" s="710"/>
      <c r="AN393" s="710"/>
      <c r="AO393" s="710"/>
      <c r="AP393" s="710"/>
    </row>
    <row r="394" spans="2:42">
      <c r="B394" s="710"/>
      <c r="C394" s="710"/>
      <c r="D394" s="710"/>
      <c r="E394" s="710"/>
      <c r="F394" s="710"/>
      <c r="G394" s="710"/>
      <c r="H394" s="710"/>
      <c r="I394" s="710"/>
      <c r="J394" s="710"/>
      <c r="K394" s="710"/>
      <c r="L394" s="710"/>
      <c r="M394" s="710"/>
      <c r="N394" s="710"/>
      <c r="O394" s="710"/>
      <c r="P394" s="710"/>
      <c r="Q394" s="710"/>
      <c r="R394" s="710"/>
      <c r="S394" s="710"/>
      <c r="T394" s="710"/>
      <c r="U394" s="710"/>
      <c r="V394" s="710"/>
      <c r="W394" s="710"/>
      <c r="X394" s="710"/>
      <c r="Y394" s="710"/>
      <c r="Z394" s="710"/>
      <c r="AA394" s="710"/>
      <c r="AB394" s="710"/>
      <c r="AC394" s="710"/>
      <c r="AD394" s="710"/>
      <c r="AE394" s="710"/>
      <c r="AF394" s="710"/>
      <c r="AG394" s="710"/>
      <c r="AH394" s="710"/>
      <c r="AI394" s="710"/>
      <c r="AJ394" s="710"/>
      <c r="AK394" s="710"/>
      <c r="AL394" s="710"/>
      <c r="AM394" s="710"/>
      <c r="AN394" s="710"/>
      <c r="AO394" s="710"/>
      <c r="AP394" s="710"/>
    </row>
    <row r="395" spans="2:42">
      <c r="B395" s="710"/>
      <c r="C395" s="710"/>
      <c r="D395" s="710"/>
      <c r="E395" s="710"/>
      <c r="F395" s="710"/>
      <c r="G395" s="710"/>
      <c r="H395" s="710"/>
      <c r="I395" s="710"/>
      <c r="J395" s="710"/>
      <c r="K395" s="710"/>
      <c r="L395" s="710"/>
      <c r="M395" s="710"/>
      <c r="N395" s="710"/>
      <c r="O395" s="710"/>
      <c r="P395" s="710"/>
      <c r="Q395" s="710"/>
      <c r="R395" s="710"/>
      <c r="S395" s="710"/>
      <c r="T395" s="710"/>
      <c r="U395" s="710"/>
      <c r="V395" s="710"/>
      <c r="W395" s="710"/>
      <c r="X395" s="710"/>
      <c r="Y395" s="710"/>
      <c r="Z395" s="710"/>
      <c r="AA395" s="710"/>
      <c r="AB395" s="710"/>
      <c r="AC395" s="710"/>
      <c r="AD395" s="710"/>
      <c r="AE395" s="710"/>
      <c r="AF395" s="710"/>
      <c r="AG395" s="710"/>
      <c r="AH395" s="710"/>
      <c r="AI395" s="710"/>
      <c r="AJ395" s="710"/>
      <c r="AK395" s="710"/>
      <c r="AL395" s="710"/>
      <c r="AM395" s="710"/>
      <c r="AN395" s="710"/>
      <c r="AO395" s="710"/>
      <c r="AP395" s="710"/>
    </row>
    <row r="396" spans="2:42">
      <c r="B396" s="710"/>
      <c r="C396" s="710"/>
      <c r="D396" s="710"/>
      <c r="E396" s="710"/>
      <c r="F396" s="710"/>
      <c r="G396" s="710"/>
      <c r="H396" s="710"/>
      <c r="I396" s="710"/>
      <c r="J396" s="710"/>
      <c r="K396" s="710"/>
      <c r="L396" s="710"/>
      <c r="M396" s="710"/>
      <c r="N396" s="710"/>
      <c r="O396" s="710"/>
      <c r="P396" s="710"/>
      <c r="Q396" s="710"/>
      <c r="R396" s="710"/>
      <c r="S396" s="710"/>
      <c r="T396" s="710"/>
      <c r="U396" s="710"/>
      <c r="V396" s="710"/>
      <c r="W396" s="710"/>
      <c r="X396" s="710"/>
      <c r="Y396" s="710"/>
      <c r="Z396" s="710"/>
      <c r="AA396" s="710"/>
      <c r="AB396" s="710"/>
      <c r="AC396" s="710"/>
      <c r="AD396" s="710"/>
      <c r="AE396" s="710"/>
      <c r="AF396" s="710"/>
      <c r="AG396" s="710"/>
      <c r="AH396" s="710"/>
      <c r="AI396" s="710"/>
      <c r="AJ396" s="710"/>
      <c r="AK396" s="710"/>
      <c r="AL396" s="710"/>
      <c r="AM396" s="710"/>
      <c r="AN396" s="710"/>
      <c r="AO396" s="710"/>
      <c r="AP396" s="710"/>
    </row>
    <row r="397" spans="2:42">
      <c r="B397" s="710"/>
      <c r="C397" s="710"/>
      <c r="D397" s="710"/>
      <c r="E397" s="710"/>
      <c r="F397" s="710"/>
      <c r="G397" s="710"/>
      <c r="H397" s="710"/>
      <c r="I397" s="710"/>
      <c r="J397" s="710"/>
      <c r="K397" s="710"/>
      <c r="L397" s="710"/>
      <c r="M397" s="710"/>
      <c r="N397" s="710"/>
      <c r="O397" s="710"/>
      <c r="P397" s="710"/>
      <c r="Q397" s="710"/>
      <c r="R397" s="710"/>
      <c r="S397" s="710"/>
      <c r="T397" s="710"/>
      <c r="U397" s="710"/>
      <c r="V397" s="710"/>
      <c r="W397" s="710"/>
      <c r="X397" s="710"/>
      <c r="Y397" s="710"/>
      <c r="Z397" s="710"/>
      <c r="AA397" s="710"/>
      <c r="AB397" s="710"/>
      <c r="AC397" s="710"/>
      <c r="AD397" s="710"/>
      <c r="AE397" s="710"/>
      <c r="AF397" s="710"/>
      <c r="AG397" s="710"/>
      <c r="AH397" s="710"/>
      <c r="AI397" s="710"/>
      <c r="AJ397" s="710"/>
      <c r="AK397" s="710"/>
      <c r="AL397" s="710"/>
      <c r="AM397" s="710"/>
      <c r="AN397" s="710"/>
      <c r="AO397" s="710"/>
      <c r="AP397" s="710"/>
    </row>
    <row r="398" spans="2:42">
      <c r="B398" s="710"/>
      <c r="C398" s="710"/>
      <c r="D398" s="710"/>
      <c r="E398" s="710"/>
      <c r="F398" s="710"/>
      <c r="G398" s="710"/>
      <c r="H398" s="710"/>
      <c r="I398" s="710"/>
      <c r="J398" s="710"/>
      <c r="K398" s="710"/>
      <c r="L398" s="710"/>
      <c r="M398" s="710"/>
      <c r="N398" s="710"/>
      <c r="O398" s="710"/>
      <c r="P398" s="710"/>
      <c r="Q398" s="710"/>
      <c r="R398" s="710"/>
      <c r="S398" s="710"/>
      <c r="T398" s="710"/>
      <c r="U398" s="710"/>
      <c r="V398" s="710"/>
      <c r="W398" s="710"/>
      <c r="X398" s="710"/>
      <c r="Y398" s="710"/>
      <c r="Z398" s="710"/>
      <c r="AA398" s="710"/>
      <c r="AB398" s="710"/>
      <c r="AC398" s="710"/>
      <c r="AD398" s="710"/>
      <c r="AE398" s="710"/>
      <c r="AF398" s="710"/>
      <c r="AG398" s="710"/>
      <c r="AH398" s="710"/>
      <c r="AI398" s="710"/>
      <c r="AJ398" s="710"/>
      <c r="AK398" s="710"/>
      <c r="AL398" s="710"/>
      <c r="AM398" s="710"/>
      <c r="AN398" s="710"/>
      <c r="AO398" s="710"/>
      <c r="AP398" s="710"/>
    </row>
    <row r="399" spans="2:42">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710"/>
      <c r="AC399" s="710"/>
      <c r="AD399" s="710"/>
      <c r="AE399" s="710"/>
      <c r="AF399" s="710"/>
      <c r="AG399" s="710"/>
      <c r="AH399" s="710"/>
      <c r="AI399" s="710"/>
      <c r="AJ399" s="710"/>
      <c r="AK399" s="710"/>
      <c r="AL399" s="710"/>
      <c r="AM399" s="710"/>
      <c r="AN399" s="710"/>
      <c r="AO399" s="710"/>
      <c r="AP399" s="710"/>
    </row>
    <row r="400" spans="2:42">
      <c r="B400" s="710"/>
      <c r="C400" s="710"/>
      <c r="D400" s="710"/>
      <c r="E400" s="710"/>
      <c r="F400" s="710"/>
      <c r="G400" s="710"/>
      <c r="H400" s="710"/>
      <c r="I400" s="710"/>
      <c r="J400" s="710"/>
      <c r="K400" s="710"/>
      <c r="L400" s="710"/>
      <c r="M400" s="710"/>
      <c r="N400" s="710"/>
      <c r="O400" s="710"/>
      <c r="P400" s="710"/>
      <c r="Q400" s="710"/>
      <c r="R400" s="710"/>
      <c r="S400" s="710"/>
      <c r="T400" s="710"/>
      <c r="U400" s="710"/>
      <c r="V400" s="710"/>
      <c r="W400" s="710"/>
      <c r="X400" s="710"/>
      <c r="Y400" s="710"/>
      <c r="Z400" s="710"/>
      <c r="AA400" s="710"/>
      <c r="AB400" s="710"/>
      <c r="AC400" s="710"/>
      <c r="AD400" s="710"/>
      <c r="AE400" s="710"/>
      <c r="AF400" s="710"/>
      <c r="AG400" s="710"/>
      <c r="AH400" s="710"/>
      <c r="AI400" s="710"/>
      <c r="AJ400" s="710"/>
      <c r="AK400" s="710"/>
      <c r="AL400" s="710"/>
      <c r="AM400" s="710"/>
      <c r="AN400" s="710"/>
      <c r="AO400" s="710"/>
      <c r="AP400" s="710"/>
    </row>
    <row r="401" spans="2:42">
      <c r="B401" s="710"/>
      <c r="C401" s="710"/>
      <c r="D401" s="710"/>
      <c r="E401" s="710"/>
      <c r="F401" s="710"/>
      <c r="G401" s="710"/>
      <c r="H401" s="710"/>
      <c r="I401" s="710"/>
      <c r="J401" s="710"/>
      <c r="K401" s="710"/>
      <c r="L401" s="710"/>
      <c r="M401" s="710"/>
      <c r="N401" s="710"/>
      <c r="O401" s="710"/>
      <c r="P401" s="710"/>
      <c r="Q401" s="710"/>
      <c r="R401" s="710"/>
      <c r="S401" s="710"/>
      <c r="T401" s="710"/>
      <c r="U401" s="710"/>
      <c r="V401" s="710"/>
      <c r="W401" s="710"/>
      <c r="X401" s="710"/>
      <c r="Y401" s="710"/>
      <c r="Z401" s="710"/>
      <c r="AA401" s="710"/>
      <c r="AB401" s="710"/>
      <c r="AC401" s="710"/>
      <c r="AD401" s="710"/>
      <c r="AE401" s="710"/>
      <c r="AF401" s="710"/>
      <c r="AG401" s="710"/>
      <c r="AH401" s="710"/>
      <c r="AI401" s="710"/>
      <c r="AJ401" s="710"/>
      <c r="AK401" s="710"/>
      <c r="AL401" s="710"/>
      <c r="AM401" s="710"/>
      <c r="AN401" s="710"/>
      <c r="AO401" s="710"/>
      <c r="AP401" s="710"/>
    </row>
    <row r="402" spans="2:42">
      <c r="B402" s="710"/>
      <c r="C402" s="710"/>
      <c r="D402" s="710"/>
      <c r="E402" s="710"/>
      <c r="F402" s="710"/>
      <c r="G402" s="710"/>
      <c r="H402" s="710"/>
      <c r="I402" s="710"/>
      <c r="J402" s="710"/>
      <c r="K402" s="710"/>
      <c r="L402" s="710"/>
      <c r="M402" s="710"/>
      <c r="N402" s="710"/>
      <c r="O402" s="710"/>
      <c r="P402" s="710"/>
      <c r="Q402" s="710"/>
      <c r="R402" s="710"/>
      <c r="S402" s="710"/>
      <c r="T402" s="710"/>
      <c r="U402" s="710"/>
      <c r="V402" s="710"/>
      <c r="W402" s="710"/>
      <c r="X402" s="710"/>
      <c r="Y402" s="710"/>
      <c r="Z402" s="710"/>
      <c r="AA402" s="710"/>
      <c r="AB402" s="710"/>
      <c r="AC402" s="710"/>
      <c r="AD402" s="710"/>
      <c r="AE402" s="710"/>
      <c r="AF402" s="710"/>
      <c r="AG402" s="710"/>
      <c r="AH402" s="710"/>
      <c r="AI402" s="710"/>
      <c r="AJ402" s="710"/>
      <c r="AK402" s="710"/>
      <c r="AL402" s="710"/>
      <c r="AM402" s="710"/>
      <c r="AN402" s="710"/>
      <c r="AO402" s="710"/>
      <c r="AP402" s="710"/>
    </row>
    <row r="403" spans="2:42">
      <c r="B403" s="710"/>
      <c r="C403" s="710"/>
      <c r="D403" s="710"/>
      <c r="E403" s="710"/>
      <c r="F403" s="710"/>
      <c r="G403" s="710"/>
      <c r="H403" s="710"/>
      <c r="I403" s="710"/>
      <c r="J403" s="710"/>
      <c r="K403" s="710"/>
      <c r="L403" s="710"/>
      <c r="M403" s="710"/>
      <c r="N403" s="710"/>
      <c r="O403" s="710"/>
      <c r="P403" s="710"/>
      <c r="Q403" s="710"/>
      <c r="R403" s="710"/>
      <c r="S403" s="710"/>
      <c r="T403" s="710"/>
      <c r="U403" s="710"/>
      <c r="V403" s="710"/>
      <c r="W403" s="710"/>
      <c r="X403" s="710"/>
      <c r="Y403" s="710"/>
      <c r="Z403" s="710"/>
      <c r="AA403" s="710"/>
      <c r="AB403" s="710"/>
      <c r="AC403" s="710"/>
      <c r="AD403" s="710"/>
      <c r="AE403" s="710"/>
      <c r="AF403" s="710"/>
      <c r="AG403" s="710"/>
      <c r="AH403" s="710"/>
      <c r="AI403" s="710"/>
      <c r="AJ403" s="710"/>
      <c r="AK403" s="710"/>
      <c r="AL403" s="710"/>
      <c r="AM403" s="710"/>
      <c r="AN403" s="710"/>
      <c r="AO403" s="710"/>
      <c r="AP403" s="710"/>
    </row>
    <row r="404" spans="2:42">
      <c r="B404" s="710"/>
      <c r="C404" s="710"/>
      <c r="D404" s="710"/>
      <c r="E404" s="710"/>
      <c r="F404" s="710"/>
      <c r="G404" s="710"/>
      <c r="H404" s="710"/>
      <c r="I404" s="710"/>
      <c r="J404" s="710"/>
      <c r="K404" s="710"/>
      <c r="L404" s="710"/>
      <c r="M404" s="710"/>
      <c r="N404" s="710"/>
      <c r="O404" s="710"/>
      <c r="P404" s="710"/>
      <c r="Q404" s="710"/>
      <c r="R404" s="710"/>
      <c r="S404" s="710"/>
      <c r="T404" s="710"/>
      <c r="U404" s="710"/>
      <c r="V404" s="710"/>
      <c r="W404" s="710"/>
      <c r="X404" s="710"/>
      <c r="Y404" s="710"/>
      <c r="Z404" s="710"/>
      <c r="AA404" s="710"/>
      <c r="AB404" s="710"/>
      <c r="AC404" s="710"/>
      <c r="AD404" s="710"/>
      <c r="AE404" s="710"/>
      <c r="AF404" s="710"/>
      <c r="AG404" s="710"/>
      <c r="AH404" s="710"/>
      <c r="AI404" s="710"/>
      <c r="AJ404" s="710"/>
      <c r="AK404" s="710"/>
      <c r="AL404" s="710"/>
      <c r="AM404" s="710"/>
      <c r="AN404" s="710"/>
      <c r="AO404" s="710"/>
      <c r="AP404" s="710"/>
    </row>
    <row r="405" spans="2:42">
      <c r="B405" s="710"/>
      <c r="C405" s="710"/>
      <c r="D405" s="710"/>
      <c r="E405" s="710"/>
      <c r="F405" s="710"/>
      <c r="G405" s="710"/>
      <c r="H405" s="710"/>
      <c r="I405" s="710"/>
      <c r="J405" s="710"/>
      <c r="K405" s="710"/>
      <c r="L405" s="710"/>
      <c r="M405" s="710"/>
      <c r="N405" s="710"/>
      <c r="O405" s="710"/>
      <c r="P405" s="710"/>
      <c r="Q405" s="710"/>
      <c r="R405" s="710"/>
      <c r="S405" s="710"/>
      <c r="T405" s="710"/>
      <c r="U405" s="710"/>
      <c r="V405" s="710"/>
      <c r="W405" s="710"/>
      <c r="X405" s="710"/>
      <c r="Y405" s="710"/>
      <c r="Z405" s="710"/>
      <c r="AA405" s="710"/>
      <c r="AB405" s="710"/>
      <c r="AC405" s="710"/>
      <c r="AD405" s="710"/>
      <c r="AE405" s="710"/>
      <c r="AF405" s="710"/>
      <c r="AG405" s="710"/>
      <c r="AH405" s="710"/>
      <c r="AI405" s="710"/>
      <c r="AJ405" s="710"/>
      <c r="AK405" s="710"/>
      <c r="AL405" s="710"/>
      <c r="AM405" s="710"/>
      <c r="AN405" s="710"/>
      <c r="AO405" s="710"/>
      <c r="AP405" s="710"/>
    </row>
    <row r="406" spans="2:42">
      <c r="B406" s="710"/>
      <c r="C406" s="710"/>
      <c r="D406" s="710"/>
      <c r="E406" s="710"/>
      <c r="F406" s="710"/>
      <c r="G406" s="710"/>
      <c r="H406" s="710"/>
      <c r="I406" s="710"/>
      <c r="J406" s="710"/>
      <c r="K406" s="710"/>
      <c r="L406" s="710"/>
      <c r="M406" s="710"/>
      <c r="N406" s="710"/>
      <c r="O406" s="710"/>
      <c r="P406" s="710"/>
      <c r="Q406" s="710"/>
      <c r="R406" s="710"/>
      <c r="S406" s="710"/>
      <c r="T406" s="710"/>
      <c r="U406" s="710"/>
      <c r="V406" s="710"/>
      <c r="W406" s="710"/>
      <c r="X406" s="710"/>
      <c r="Y406" s="710"/>
      <c r="Z406" s="710"/>
      <c r="AA406" s="710"/>
      <c r="AB406" s="710"/>
      <c r="AC406" s="710"/>
      <c r="AD406" s="710"/>
      <c r="AE406" s="710"/>
      <c r="AF406" s="710"/>
      <c r="AG406" s="710"/>
      <c r="AH406" s="710"/>
      <c r="AI406" s="710"/>
      <c r="AJ406" s="710"/>
      <c r="AK406" s="710"/>
      <c r="AL406" s="710"/>
      <c r="AM406" s="710"/>
      <c r="AN406" s="710"/>
      <c r="AO406" s="710"/>
      <c r="AP406" s="710"/>
    </row>
    <row r="407" spans="2:42">
      <c r="B407" s="710"/>
      <c r="C407" s="710"/>
      <c r="D407" s="710"/>
      <c r="E407" s="710"/>
      <c r="F407" s="710"/>
      <c r="G407" s="710"/>
      <c r="H407" s="710"/>
      <c r="I407" s="710"/>
      <c r="J407" s="710"/>
      <c r="K407" s="710"/>
      <c r="L407" s="710"/>
      <c r="M407" s="710"/>
      <c r="N407" s="710"/>
      <c r="O407" s="710"/>
      <c r="P407" s="710"/>
      <c r="Q407" s="710"/>
      <c r="R407" s="710"/>
      <c r="S407" s="710"/>
      <c r="T407" s="710"/>
      <c r="U407" s="710"/>
      <c r="V407" s="710"/>
      <c r="W407" s="710"/>
      <c r="X407" s="710"/>
      <c r="Y407" s="710"/>
      <c r="Z407" s="710"/>
      <c r="AA407" s="710"/>
      <c r="AB407" s="710"/>
      <c r="AC407" s="710"/>
      <c r="AD407" s="710"/>
      <c r="AE407" s="710"/>
      <c r="AF407" s="710"/>
      <c r="AG407" s="710"/>
      <c r="AH407" s="710"/>
      <c r="AI407" s="710"/>
      <c r="AJ407" s="710"/>
      <c r="AK407" s="710"/>
      <c r="AL407" s="710"/>
      <c r="AM407" s="710"/>
      <c r="AN407" s="710"/>
      <c r="AO407" s="710"/>
      <c r="AP407" s="710"/>
    </row>
    <row r="408" spans="2:42">
      <c r="B408" s="710"/>
      <c r="C408" s="710"/>
      <c r="D408" s="710"/>
      <c r="E408" s="710"/>
      <c r="F408" s="710"/>
      <c r="G408" s="710"/>
      <c r="H408" s="710"/>
      <c r="I408" s="710"/>
      <c r="J408" s="710"/>
      <c r="K408" s="710"/>
      <c r="L408" s="710"/>
      <c r="M408" s="710"/>
      <c r="N408" s="710"/>
      <c r="O408" s="710"/>
      <c r="P408" s="710"/>
      <c r="Q408" s="710"/>
      <c r="R408" s="710"/>
      <c r="S408" s="710"/>
      <c r="T408" s="710"/>
      <c r="U408" s="710"/>
      <c r="V408" s="710"/>
      <c r="W408" s="710"/>
      <c r="X408" s="710"/>
      <c r="Y408" s="710"/>
      <c r="Z408" s="710"/>
      <c r="AA408" s="710"/>
      <c r="AB408" s="710"/>
      <c r="AC408" s="710"/>
      <c r="AD408" s="710"/>
      <c r="AE408" s="710"/>
      <c r="AF408" s="710"/>
      <c r="AG408" s="710"/>
      <c r="AH408" s="710"/>
      <c r="AI408" s="710"/>
      <c r="AJ408" s="710"/>
      <c r="AK408" s="710"/>
      <c r="AL408" s="710"/>
      <c r="AM408" s="710"/>
      <c r="AN408" s="710"/>
      <c r="AO408" s="710"/>
      <c r="AP408" s="710"/>
    </row>
    <row r="409" spans="2:42">
      <c r="B409" s="710"/>
      <c r="C409" s="710"/>
      <c r="D409" s="710"/>
      <c r="E409" s="710"/>
      <c r="F409" s="710"/>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10"/>
      <c r="AF409" s="710"/>
      <c r="AG409" s="710"/>
      <c r="AH409" s="710"/>
      <c r="AI409" s="710"/>
      <c r="AJ409" s="710"/>
      <c r="AK409" s="710"/>
      <c r="AL409" s="710"/>
      <c r="AM409" s="710"/>
      <c r="AN409" s="710"/>
      <c r="AO409" s="710"/>
      <c r="AP409" s="710"/>
    </row>
    <row r="410" spans="2:42">
      <c r="B410" s="710"/>
      <c r="C410" s="710"/>
      <c r="D410" s="710"/>
      <c r="E410" s="710"/>
      <c r="F410" s="710"/>
      <c r="G410" s="710"/>
      <c r="H410" s="710"/>
      <c r="I410" s="710"/>
      <c r="J410" s="710"/>
      <c r="K410" s="710"/>
      <c r="L410" s="710"/>
      <c r="M410" s="710"/>
      <c r="N410" s="710"/>
      <c r="O410" s="710"/>
      <c r="P410" s="710"/>
      <c r="Q410" s="710"/>
      <c r="R410" s="710"/>
      <c r="S410" s="710"/>
      <c r="T410" s="710"/>
      <c r="U410" s="710"/>
      <c r="V410" s="710"/>
      <c r="W410" s="710"/>
      <c r="X410" s="710"/>
      <c r="Y410" s="710"/>
      <c r="Z410" s="710"/>
      <c r="AA410" s="710"/>
      <c r="AB410" s="710"/>
      <c r="AC410" s="710"/>
      <c r="AD410" s="710"/>
      <c r="AE410" s="710"/>
      <c r="AF410" s="710"/>
      <c r="AG410" s="710"/>
      <c r="AH410" s="710"/>
      <c r="AI410" s="710"/>
      <c r="AJ410" s="710"/>
      <c r="AK410" s="710"/>
      <c r="AL410" s="710"/>
      <c r="AM410" s="710"/>
      <c r="AN410" s="710"/>
      <c r="AO410" s="710"/>
      <c r="AP410" s="710"/>
    </row>
    <row r="411" spans="2:42">
      <c r="B411" s="710"/>
      <c r="C411" s="710"/>
      <c r="D411" s="710"/>
      <c r="E411" s="710"/>
      <c r="F411" s="710"/>
      <c r="G411" s="710"/>
      <c r="H411" s="710"/>
      <c r="I411" s="710"/>
      <c r="J411" s="710"/>
      <c r="K411" s="710"/>
      <c r="L411" s="710"/>
      <c r="M411" s="710"/>
      <c r="N411" s="710"/>
      <c r="O411" s="710"/>
      <c r="P411" s="710"/>
      <c r="Q411" s="710"/>
      <c r="R411" s="710"/>
      <c r="S411" s="710"/>
      <c r="T411" s="710"/>
      <c r="U411" s="710"/>
      <c r="V411" s="710"/>
      <c r="W411" s="710"/>
      <c r="X411" s="710"/>
      <c r="Y411" s="710"/>
      <c r="Z411" s="710"/>
      <c r="AA411" s="710"/>
      <c r="AB411" s="710"/>
      <c r="AC411" s="710"/>
      <c r="AD411" s="710"/>
      <c r="AE411" s="710"/>
      <c r="AF411" s="710"/>
      <c r="AG411" s="710"/>
      <c r="AH411" s="710"/>
      <c r="AI411" s="710"/>
      <c r="AJ411" s="710"/>
      <c r="AK411" s="710"/>
      <c r="AL411" s="710"/>
      <c r="AM411" s="710"/>
      <c r="AN411" s="710"/>
      <c r="AO411" s="710"/>
      <c r="AP411" s="710"/>
    </row>
    <row r="412" spans="2:42">
      <c r="B412" s="710"/>
      <c r="C412" s="710"/>
      <c r="D412" s="710"/>
      <c r="E412" s="710"/>
      <c r="F412" s="710"/>
      <c r="G412" s="710"/>
      <c r="H412" s="710"/>
      <c r="I412" s="710"/>
      <c r="J412" s="710"/>
      <c r="K412" s="710"/>
      <c r="L412" s="710"/>
      <c r="M412" s="710"/>
      <c r="N412" s="710"/>
      <c r="O412" s="710"/>
      <c r="P412" s="710"/>
      <c r="Q412" s="710"/>
      <c r="R412" s="710"/>
      <c r="S412" s="710"/>
      <c r="T412" s="710"/>
      <c r="U412" s="710"/>
      <c r="V412" s="710"/>
      <c r="W412" s="710"/>
      <c r="X412" s="710"/>
      <c r="Y412" s="710"/>
      <c r="Z412" s="710"/>
      <c r="AA412" s="710"/>
      <c r="AB412" s="710"/>
      <c r="AC412" s="710"/>
      <c r="AD412" s="710"/>
      <c r="AE412" s="710"/>
      <c r="AF412" s="710"/>
      <c r="AG412" s="710"/>
      <c r="AH412" s="710"/>
      <c r="AI412" s="710"/>
      <c r="AJ412" s="710"/>
      <c r="AK412" s="710"/>
      <c r="AL412" s="710"/>
      <c r="AM412" s="710"/>
      <c r="AN412" s="710"/>
      <c r="AO412" s="710"/>
      <c r="AP412" s="710"/>
    </row>
    <row r="413" spans="2:42">
      <c r="B413" s="710"/>
      <c r="C413" s="710"/>
      <c r="D413" s="710"/>
      <c r="E413" s="710"/>
      <c r="F413" s="710"/>
      <c r="G413" s="710"/>
      <c r="H413" s="710"/>
      <c r="I413" s="710"/>
      <c r="J413" s="710"/>
      <c r="K413" s="710"/>
      <c r="L413" s="710"/>
      <c r="M413" s="710"/>
      <c r="N413" s="710"/>
      <c r="O413" s="710"/>
      <c r="P413" s="710"/>
      <c r="Q413" s="710"/>
      <c r="R413" s="710"/>
      <c r="S413" s="710"/>
      <c r="T413" s="710"/>
      <c r="U413" s="710"/>
      <c r="V413" s="710"/>
      <c r="W413" s="710"/>
      <c r="X413" s="710"/>
      <c r="Y413" s="710"/>
      <c r="Z413" s="710"/>
      <c r="AA413" s="710"/>
      <c r="AB413" s="710"/>
      <c r="AC413" s="710"/>
      <c r="AD413" s="710"/>
      <c r="AE413" s="710"/>
      <c r="AF413" s="710"/>
      <c r="AG413" s="710"/>
      <c r="AH413" s="710"/>
      <c r="AI413" s="710"/>
      <c r="AJ413" s="710"/>
      <c r="AK413" s="710"/>
      <c r="AL413" s="710"/>
      <c r="AM413" s="710"/>
      <c r="AN413" s="710"/>
      <c r="AO413" s="710"/>
      <c r="AP413" s="710"/>
    </row>
    <row r="414" spans="2:42">
      <c r="B414" s="710"/>
      <c r="C414" s="710"/>
      <c r="D414" s="710"/>
      <c r="E414" s="710"/>
      <c r="F414" s="710"/>
      <c r="G414" s="710"/>
      <c r="H414" s="710"/>
      <c r="I414" s="710"/>
      <c r="J414" s="710"/>
      <c r="K414" s="710"/>
      <c r="L414" s="710"/>
      <c r="M414" s="710"/>
      <c r="N414" s="710"/>
      <c r="O414" s="710"/>
      <c r="P414" s="710"/>
      <c r="Q414" s="710"/>
      <c r="R414" s="710"/>
      <c r="S414" s="710"/>
      <c r="T414" s="710"/>
      <c r="U414" s="710"/>
      <c r="V414" s="710"/>
      <c r="W414" s="710"/>
      <c r="X414" s="710"/>
      <c r="Y414" s="710"/>
      <c r="Z414" s="710"/>
      <c r="AA414" s="710"/>
      <c r="AB414" s="710"/>
      <c r="AC414" s="710"/>
      <c r="AD414" s="710"/>
      <c r="AE414" s="710"/>
      <c r="AF414" s="710"/>
      <c r="AG414" s="710"/>
      <c r="AH414" s="710"/>
      <c r="AI414" s="710"/>
      <c r="AJ414" s="710"/>
      <c r="AK414" s="710"/>
      <c r="AL414" s="710"/>
      <c r="AM414" s="710"/>
      <c r="AN414" s="710"/>
      <c r="AO414" s="710"/>
      <c r="AP414" s="710"/>
    </row>
    <row r="415" spans="2:42">
      <c r="B415" s="710"/>
      <c r="C415" s="710"/>
      <c r="D415" s="710"/>
      <c r="E415" s="710"/>
      <c r="F415" s="710"/>
      <c r="G415" s="710"/>
      <c r="H415" s="710"/>
      <c r="I415" s="710"/>
      <c r="J415" s="710"/>
      <c r="K415" s="710"/>
      <c r="L415" s="710"/>
      <c r="M415" s="710"/>
      <c r="N415" s="710"/>
      <c r="O415" s="710"/>
      <c r="P415" s="710"/>
      <c r="Q415" s="710"/>
      <c r="R415" s="710"/>
      <c r="S415" s="710"/>
      <c r="T415" s="710"/>
      <c r="U415" s="710"/>
      <c r="V415" s="710"/>
      <c r="W415" s="710"/>
      <c r="X415" s="710"/>
      <c r="Y415" s="710"/>
      <c r="Z415" s="710"/>
      <c r="AA415" s="710"/>
      <c r="AB415" s="710"/>
      <c r="AC415" s="710"/>
      <c r="AD415" s="710"/>
      <c r="AE415" s="710"/>
      <c r="AF415" s="710"/>
      <c r="AG415" s="710"/>
      <c r="AH415" s="710"/>
      <c r="AI415" s="710"/>
      <c r="AJ415" s="710"/>
      <c r="AK415" s="710"/>
      <c r="AL415" s="710"/>
      <c r="AM415" s="710"/>
      <c r="AN415" s="710"/>
      <c r="AO415" s="710"/>
      <c r="AP415" s="710"/>
    </row>
    <row r="416" spans="2:42">
      <c r="B416" s="710"/>
      <c r="C416" s="710"/>
      <c r="D416" s="710"/>
      <c r="E416" s="710"/>
      <c r="F416" s="710"/>
      <c r="G416" s="710"/>
      <c r="H416" s="710"/>
      <c r="I416" s="710"/>
      <c r="J416" s="710"/>
      <c r="K416" s="710"/>
      <c r="L416" s="710"/>
      <c r="M416" s="710"/>
      <c r="N416" s="710"/>
      <c r="O416" s="710"/>
      <c r="P416" s="710"/>
      <c r="Q416" s="710"/>
      <c r="R416" s="710"/>
      <c r="S416" s="710"/>
      <c r="T416" s="710"/>
      <c r="U416" s="710"/>
      <c r="V416" s="710"/>
      <c r="W416" s="710"/>
      <c r="X416" s="710"/>
      <c r="Y416" s="710"/>
      <c r="Z416" s="710"/>
      <c r="AA416" s="710"/>
      <c r="AB416" s="710"/>
      <c r="AC416" s="710"/>
      <c r="AD416" s="710"/>
      <c r="AE416" s="710"/>
      <c r="AF416" s="710"/>
      <c r="AG416" s="710"/>
      <c r="AH416" s="710"/>
      <c r="AI416" s="710"/>
      <c r="AJ416" s="710"/>
      <c r="AK416" s="710"/>
      <c r="AL416" s="710"/>
      <c r="AM416" s="710"/>
      <c r="AN416" s="710"/>
      <c r="AO416" s="710"/>
      <c r="AP416" s="710"/>
    </row>
    <row r="417" spans="2:42">
      <c r="B417" s="710"/>
      <c r="C417" s="710"/>
      <c r="D417" s="710"/>
      <c r="E417" s="710"/>
      <c r="F417" s="710"/>
      <c r="G417" s="710"/>
      <c r="H417" s="710"/>
      <c r="I417" s="710"/>
      <c r="J417" s="710"/>
      <c r="K417" s="710"/>
      <c r="L417" s="710"/>
      <c r="M417" s="710"/>
      <c r="N417" s="710"/>
      <c r="O417" s="710"/>
      <c r="P417" s="710"/>
      <c r="Q417" s="710"/>
      <c r="R417" s="710"/>
      <c r="S417" s="710"/>
      <c r="T417" s="710"/>
      <c r="U417" s="710"/>
      <c r="V417" s="710"/>
      <c r="W417" s="710"/>
      <c r="X417" s="710"/>
      <c r="Y417" s="710"/>
      <c r="Z417" s="710"/>
      <c r="AA417" s="710"/>
      <c r="AB417" s="710"/>
      <c r="AC417" s="710"/>
      <c r="AD417" s="710"/>
      <c r="AE417" s="710"/>
      <c r="AF417" s="710"/>
      <c r="AG417" s="710"/>
      <c r="AH417" s="710"/>
      <c r="AI417" s="710"/>
      <c r="AJ417" s="710"/>
      <c r="AK417" s="710"/>
      <c r="AL417" s="710"/>
      <c r="AM417" s="710"/>
      <c r="AN417" s="710"/>
      <c r="AO417" s="710"/>
      <c r="AP417" s="710"/>
    </row>
    <row r="418" spans="2:42">
      <c r="B418" s="710"/>
      <c r="C418" s="710"/>
      <c r="D418" s="710"/>
      <c r="E418" s="710"/>
      <c r="F418" s="710"/>
      <c r="G418" s="710"/>
      <c r="H418" s="710"/>
      <c r="I418" s="710"/>
      <c r="J418" s="710"/>
      <c r="K418" s="710"/>
      <c r="L418" s="710"/>
      <c r="M418" s="710"/>
      <c r="N418" s="710"/>
      <c r="O418" s="710"/>
      <c r="P418" s="710"/>
      <c r="Q418" s="710"/>
      <c r="R418" s="710"/>
      <c r="S418" s="710"/>
      <c r="T418" s="710"/>
      <c r="U418" s="710"/>
      <c r="V418" s="710"/>
      <c r="W418" s="710"/>
      <c r="X418" s="710"/>
      <c r="Y418" s="710"/>
      <c r="Z418" s="710"/>
      <c r="AA418" s="710"/>
      <c r="AB418" s="710"/>
      <c r="AC418" s="710"/>
      <c r="AD418" s="710"/>
      <c r="AE418" s="710"/>
      <c r="AF418" s="710"/>
      <c r="AG418" s="710"/>
      <c r="AH418" s="710"/>
      <c r="AI418" s="710"/>
      <c r="AJ418" s="710"/>
      <c r="AK418" s="710"/>
      <c r="AL418" s="710"/>
      <c r="AM418" s="710"/>
      <c r="AN418" s="710"/>
      <c r="AO418" s="710"/>
      <c r="AP418" s="710"/>
    </row>
    <row r="419" spans="2:42">
      <c r="B419" s="710"/>
      <c r="C419" s="710"/>
      <c r="D419" s="710"/>
      <c r="E419" s="710"/>
      <c r="F419" s="710"/>
      <c r="G419" s="710"/>
      <c r="H419" s="710"/>
      <c r="I419" s="710"/>
      <c r="J419" s="710"/>
      <c r="K419" s="710"/>
      <c r="L419" s="710"/>
      <c r="M419" s="710"/>
      <c r="N419" s="710"/>
      <c r="O419" s="710"/>
      <c r="P419" s="710"/>
      <c r="Q419" s="710"/>
      <c r="R419" s="710"/>
      <c r="S419" s="710"/>
      <c r="T419" s="710"/>
      <c r="U419" s="710"/>
      <c r="V419" s="710"/>
      <c r="W419" s="710"/>
      <c r="X419" s="710"/>
      <c r="Y419" s="710"/>
      <c r="Z419" s="710"/>
      <c r="AA419" s="710"/>
      <c r="AB419" s="710"/>
      <c r="AC419" s="710"/>
      <c r="AD419" s="710"/>
      <c r="AE419" s="710"/>
      <c r="AF419" s="710"/>
      <c r="AG419" s="710"/>
      <c r="AH419" s="710"/>
      <c r="AI419" s="710"/>
      <c r="AJ419" s="710"/>
      <c r="AK419" s="710"/>
      <c r="AL419" s="710"/>
      <c r="AM419" s="710"/>
      <c r="AN419" s="710"/>
      <c r="AO419" s="710"/>
      <c r="AP419" s="710"/>
    </row>
    <row r="420" spans="2:42">
      <c r="B420" s="710"/>
      <c r="C420" s="710"/>
      <c r="D420" s="710"/>
      <c r="E420" s="710"/>
      <c r="F420" s="710"/>
      <c r="G420" s="710"/>
      <c r="H420" s="710"/>
      <c r="I420" s="710"/>
      <c r="J420" s="710"/>
      <c r="K420" s="710"/>
      <c r="L420" s="710"/>
      <c r="M420" s="710"/>
      <c r="N420" s="710"/>
      <c r="O420" s="710"/>
      <c r="P420" s="710"/>
      <c r="Q420" s="710"/>
      <c r="R420" s="710"/>
      <c r="S420" s="710"/>
      <c r="T420" s="710"/>
      <c r="U420" s="710"/>
      <c r="V420" s="710"/>
      <c r="W420" s="710"/>
      <c r="X420" s="710"/>
      <c r="Y420" s="710"/>
      <c r="Z420" s="710"/>
      <c r="AA420" s="710"/>
      <c r="AB420" s="710"/>
      <c r="AC420" s="710"/>
      <c r="AD420" s="710"/>
      <c r="AE420" s="710"/>
      <c r="AF420" s="710"/>
      <c r="AG420" s="710"/>
      <c r="AH420" s="710"/>
      <c r="AI420" s="710"/>
      <c r="AJ420" s="710"/>
      <c r="AK420" s="710"/>
      <c r="AL420" s="710"/>
      <c r="AM420" s="710"/>
      <c r="AN420" s="710"/>
      <c r="AO420" s="710"/>
      <c r="AP420" s="710"/>
    </row>
    <row r="421" spans="2:42">
      <c r="B421" s="710"/>
      <c r="C421" s="710"/>
      <c r="D421" s="710"/>
      <c r="E421" s="710"/>
      <c r="F421" s="710"/>
      <c r="G421" s="710"/>
      <c r="H421" s="710"/>
      <c r="I421" s="710"/>
      <c r="J421" s="710"/>
      <c r="K421" s="710"/>
      <c r="L421" s="710"/>
      <c r="M421" s="710"/>
      <c r="N421" s="710"/>
      <c r="O421" s="710"/>
      <c r="P421" s="710"/>
      <c r="Q421" s="710"/>
      <c r="R421" s="710"/>
      <c r="S421" s="710"/>
      <c r="T421" s="710"/>
      <c r="U421" s="710"/>
      <c r="V421" s="710"/>
      <c r="W421" s="710"/>
      <c r="X421" s="710"/>
      <c r="Y421" s="710"/>
      <c r="Z421" s="710"/>
      <c r="AA421" s="710"/>
      <c r="AB421" s="710"/>
      <c r="AC421" s="710"/>
      <c r="AD421" s="710"/>
      <c r="AE421" s="710"/>
      <c r="AF421" s="710"/>
      <c r="AG421" s="710"/>
      <c r="AH421" s="710"/>
      <c r="AI421" s="710"/>
      <c r="AJ421" s="710"/>
      <c r="AK421" s="710"/>
      <c r="AL421" s="710"/>
      <c r="AM421" s="710"/>
      <c r="AN421" s="710"/>
      <c r="AO421" s="710"/>
      <c r="AP421" s="710"/>
    </row>
    <row r="422" spans="2:42">
      <c r="B422" s="710"/>
      <c r="C422" s="710"/>
      <c r="D422" s="710"/>
      <c r="E422" s="710"/>
      <c r="F422" s="710"/>
      <c r="G422" s="710"/>
      <c r="H422" s="710"/>
      <c r="I422" s="710"/>
      <c r="J422" s="710"/>
      <c r="K422" s="710"/>
      <c r="L422" s="710"/>
      <c r="M422" s="710"/>
      <c r="N422" s="710"/>
      <c r="O422" s="710"/>
      <c r="P422" s="710"/>
      <c r="Q422" s="710"/>
      <c r="R422" s="710"/>
      <c r="S422" s="710"/>
      <c r="T422" s="710"/>
      <c r="U422" s="710"/>
      <c r="V422" s="710"/>
      <c r="W422" s="710"/>
      <c r="X422" s="710"/>
      <c r="Y422" s="710"/>
      <c r="Z422" s="710"/>
      <c r="AA422" s="710"/>
      <c r="AB422" s="710"/>
      <c r="AC422" s="710"/>
      <c r="AD422" s="710"/>
      <c r="AE422" s="710"/>
      <c r="AF422" s="710"/>
      <c r="AG422" s="710"/>
      <c r="AH422" s="710"/>
      <c r="AI422" s="710"/>
      <c r="AJ422" s="710"/>
      <c r="AK422" s="710"/>
      <c r="AL422" s="710"/>
      <c r="AM422" s="710"/>
      <c r="AN422" s="710"/>
      <c r="AO422" s="710"/>
      <c r="AP422" s="710"/>
    </row>
    <row r="423" spans="2:42">
      <c r="B423" s="710"/>
      <c r="C423" s="710"/>
      <c r="D423" s="710"/>
      <c r="E423" s="710"/>
      <c r="F423" s="710"/>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0"/>
      <c r="AF423" s="710"/>
      <c r="AG423" s="710"/>
      <c r="AH423" s="710"/>
      <c r="AI423" s="710"/>
      <c r="AJ423" s="710"/>
      <c r="AK423" s="710"/>
      <c r="AL423" s="710"/>
      <c r="AM423" s="710"/>
      <c r="AN423" s="710"/>
      <c r="AO423" s="710"/>
      <c r="AP423" s="710"/>
    </row>
    <row r="424" spans="2:42">
      <c r="B424" s="710"/>
      <c r="C424" s="710"/>
      <c r="D424" s="710"/>
      <c r="E424" s="710"/>
      <c r="F424" s="710"/>
      <c r="G424" s="710"/>
      <c r="H424" s="710"/>
      <c r="I424" s="710"/>
      <c r="J424" s="710"/>
      <c r="K424" s="710"/>
      <c r="L424" s="710"/>
      <c r="M424" s="710"/>
      <c r="N424" s="710"/>
      <c r="O424" s="710"/>
      <c r="P424" s="710"/>
      <c r="Q424" s="710"/>
      <c r="R424" s="710"/>
      <c r="S424" s="710"/>
      <c r="T424" s="710"/>
      <c r="U424" s="710"/>
      <c r="V424" s="710"/>
      <c r="W424" s="710"/>
      <c r="X424" s="710"/>
      <c r="Y424" s="710"/>
      <c r="Z424" s="710"/>
      <c r="AA424" s="710"/>
      <c r="AB424" s="710"/>
      <c r="AC424" s="710"/>
      <c r="AD424" s="710"/>
      <c r="AE424" s="710"/>
      <c r="AF424" s="710"/>
      <c r="AG424" s="710"/>
      <c r="AH424" s="710"/>
      <c r="AI424" s="710"/>
      <c r="AJ424" s="710"/>
      <c r="AK424" s="710"/>
      <c r="AL424" s="710"/>
      <c r="AM424" s="710"/>
      <c r="AN424" s="710"/>
      <c r="AO424" s="710"/>
      <c r="AP424" s="710"/>
    </row>
    <row r="425" spans="2:42">
      <c r="B425" s="710"/>
      <c r="C425" s="710"/>
      <c r="D425" s="710"/>
      <c r="E425" s="710"/>
      <c r="F425" s="710"/>
      <c r="G425" s="710"/>
      <c r="H425" s="710"/>
      <c r="I425" s="710"/>
      <c r="J425" s="710"/>
      <c r="K425" s="710"/>
      <c r="L425" s="710"/>
      <c r="M425" s="710"/>
      <c r="N425" s="710"/>
      <c r="O425" s="710"/>
      <c r="P425" s="710"/>
      <c r="Q425" s="710"/>
      <c r="R425" s="710"/>
      <c r="S425" s="710"/>
      <c r="T425" s="710"/>
      <c r="U425" s="710"/>
      <c r="V425" s="710"/>
      <c r="W425" s="710"/>
      <c r="X425" s="710"/>
      <c r="Y425" s="710"/>
      <c r="Z425" s="710"/>
      <c r="AA425" s="710"/>
      <c r="AB425" s="710"/>
      <c r="AC425" s="710"/>
      <c r="AD425" s="710"/>
      <c r="AE425" s="710"/>
      <c r="AF425" s="710"/>
      <c r="AG425" s="710"/>
      <c r="AH425" s="710"/>
      <c r="AI425" s="710"/>
      <c r="AJ425" s="710"/>
      <c r="AK425" s="710"/>
      <c r="AL425" s="710"/>
      <c r="AM425" s="710"/>
      <c r="AN425" s="710"/>
      <c r="AO425" s="710"/>
      <c r="AP425" s="710"/>
    </row>
    <row r="426" spans="2:42">
      <c r="B426" s="710"/>
      <c r="C426" s="710"/>
      <c r="D426" s="710"/>
      <c r="E426" s="710"/>
      <c r="F426" s="710"/>
      <c r="G426" s="710"/>
      <c r="H426" s="710"/>
      <c r="I426" s="710"/>
      <c r="J426" s="710"/>
      <c r="K426" s="710"/>
      <c r="L426" s="710"/>
      <c r="M426" s="710"/>
      <c r="N426" s="710"/>
      <c r="O426" s="710"/>
      <c r="P426" s="710"/>
      <c r="Q426" s="710"/>
      <c r="R426" s="710"/>
      <c r="S426" s="710"/>
      <c r="T426" s="710"/>
      <c r="U426" s="710"/>
      <c r="V426" s="710"/>
      <c r="W426" s="710"/>
      <c r="X426" s="710"/>
      <c r="Y426" s="710"/>
      <c r="Z426" s="710"/>
      <c r="AA426" s="710"/>
      <c r="AB426" s="710"/>
      <c r="AC426" s="710"/>
      <c r="AD426" s="710"/>
      <c r="AE426" s="710"/>
      <c r="AF426" s="710"/>
      <c r="AG426" s="710"/>
      <c r="AH426" s="710"/>
      <c r="AI426" s="710"/>
      <c r="AJ426" s="710"/>
      <c r="AK426" s="710"/>
      <c r="AL426" s="710"/>
      <c r="AM426" s="710"/>
      <c r="AN426" s="710"/>
      <c r="AO426" s="710"/>
      <c r="AP426" s="710"/>
    </row>
    <row r="427" spans="2:42">
      <c r="B427" s="710"/>
      <c r="C427" s="710"/>
      <c r="D427" s="710"/>
      <c r="E427" s="710"/>
      <c r="F427" s="710"/>
      <c r="G427" s="710"/>
      <c r="H427" s="710"/>
      <c r="I427" s="710"/>
      <c r="J427" s="710"/>
      <c r="K427" s="710"/>
      <c r="L427" s="710"/>
      <c r="M427" s="710"/>
      <c r="N427" s="710"/>
      <c r="O427" s="710"/>
      <c r="P427" s="710"/>
      <c r="Q427" s="710"/>
      <c r="R427" s="710"/>
      <c r="S427" s="710"/>
      <c r="T427" s="710"/>
      <c r="U427" s="710"/>
      <c r="V427" s="710"/>
      <c r="W427" s="710"/>
      <c r="X427" s="710"/>
      <c r="Y427" s="710"/>
      <c r="Z427" s="710"/>
      <c r="AA427" s="710"/>
      <c r="AB427" s="710"/>
      <c r="AC427" s="710"/>
      <c r="AD427" s="710"/>
      <c r="AE427" s="710"/>
      <c r="AF427" s="710"/>
      <c r="AG427" s="710"/>
      <c r="AH427" s="710"/>
      <c r="AI427" s="710"/>
      <c r="AJ427" s="710"/>
      <c r="AK427" s="710"/>
      <c r="AL427" s="710"/>
      <c r="AM427" s="710"/>
      <c r="AN427" s="710"/>
      <c r="AO427" s="710"/>
      <c r="AP427" s="710"/>
    </row>
    <row r="428" spans="2:42">
      <c r="B428" s="710"/>
      <c r="C428" s="710"/>
      <c r="D428" s="710"/>
      <c r="E428" s="710"/>
      <c r="F428" s="710"/>
      <c r="G428" s="710"/>
      <c r="H428" s="710"/>
      <c r="I428" s="710"/>
      <c r="J428" s="710"/>
      <c r="K428" s="710"/>
      <c r="L428" s="710"/>
      <c r="M428" s="710"/>
      <c r="N428" s="710"/>
      <c r="O428" s="710"/>
      <c r="P428" s="710"/>
      <c r="Q428" s="710"/>
      <c r="R428" s="710"/>
      <c r="S428" s="710"/>
      <c r="T428" s="710"/>
      <c r="U428" s="710"/>
      <c r="V428" s="710"/>
      <c r="W428" s="710"/>
      <c r="X428" s="710"/>
      <c r="Y428" s="710"/>
      <c r="Z428" s="710"/>
      <c r="AA428" s="710"/>
      <c r="AB428" s="710"/>
      <c r="AC428" s="710"/>
      <c r="AD428" s="710"/>
      <c r="AE428" s="710"/>
      <c r="AF428" s="710"/>
      <c r="AG428" s="710"/>
      <c r="AH428" s="710"/>
      <c r="AI428" s="710"/>
      <c r="AJ428" s="710"/>
      <c r="AK428" s="710"/>
      <c r="AL428" s="710"/>
      <c r="AM428" s="710"/>
      <c r="AN428" s="710"/>
      <c r="AO428" s="710"/>
      <c r="AP428" s="710"/>
    </row>
    <row r="429" spans="2:42">
      <c r="B429" s="710"/>
      <c r="C429" s="710"/>
      <c r="D429" s="710"/>
      <c r="E429" s="710"/>
      <c r="F429" s="710"/>
      <c r="G429" s="710"/>
      <c r="H429" s="710"/>
      <c r="I429" s="710"/>
      <c r="J429" s="710"/>
      <c r="K429" s="710"/>
      <c r="L429" s="710"/>
      <c r="M429" s="710"/>
      <c r="N429" s="710"/>
      <c r="O429" s="710"/>
      <c r="P429" s="710"/>
      <c r="Q429" s="710"/>
      <c r="R429" s="710"/>
      <c r="S429" s="710"/>
      <c r="T429" s="710"/>
      <c r="U429" s="710"/>
      <c r="V429" s="710"/>
      <c r="W429" s="710"/>
      <c r="X429" s="710"/>
      <c r="Y429" s="710"/>
      <c r="Z429" s="710"/>
      <c r="AA429" s="710"/>
      <c r="AB429" s="710"/>
      <c r="AC429" s="710"/>
      <c r="AD429" s="710"/>
      <c r="AE429" s="710"/>
      <c r="AF429" s="710"/>
      <c r="AG429" s="710"/>
      <c r="AH429" s="710"/>
      <c r="AI429" s="710"/>
      <c r="AJ429" s="710"/>
      <c r="AK429" s="710"/>
      <c r="AL429" s="710"/>
      <c r="AM429" s="710"/>
      <c r="AN429" s="710"/>
      <c r="AO429" s="710"/>
      <c r="AP429" s="710"/>
    </row>
    <row r="430" spans="2:42">
      <c r="B430" s="710"/>
      <c r="C430" s="710"/>
      <c r="D430" s="710"/>
      <c r="E430" s="710"/>
      <c r="F430" s="710"/>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10"/>
      <c r="AF430" s="710"/>
      <c r="AG430" s="710"/>
      <c r="AH430" s="710"/>
      <c r="AI430" s="710"/>
      <c r="AJ430" s="710"/>
      <c r="AK430" s="710"/>
      <c r="AL430" s="710"/>
      <c r="AM430" s="710"/>
      <c r="AN430" s="710"/>
      <c r="AO430" s="710"/>
      <c r="AP430" s="710"/>
    </row>
    <row r="431" spans="2:42">
      <c r="B431" s="710"/>
      <c r="C431" s="710"/>
      <c r="D431" s="710"/>
      <c r="E431" s="710"/>
      <c r="F431" s="710"/>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E431" s="710"/>
      <c r="AF431" s="710"/>
      <c r="AG431" s="710"/>
      <c r="AH431" s="710"/>
      <c r="AI431" s="710"/>
      <c r="AJ431" s="710"/>
      <c r="AK431" s="710"/>
      <c r="AL431" s="710"/>
      <c r="AM431" s="710"/>
      <c r="AN431" s="710"/>
      <c r="AO431" s="710"/>
      <c r="AP431" s="710"/>
    </row>
    <row r="432" spans="2:42">
      <c r="B432" s="710"/>
      <c r="C432" s="710"/>
      <c r="D432" s="710"/>
      <c r="E432" s="710"/>
      <c r="F432" s="710"/>
      <c r="G432" s="710"/>
      <c r="H432" s="710"/>
      <c r="I432" s="710"/>
      <c r="J432" s="710"/>
      <c r="K432" s="710"/>
      <c r="L432" s="710"/>
      <c r="M432" s="710"/>
      <c r="N432" s="710"/>
      <c r="O432" s="710"/>
      <c r="P432" s="710"/>
      <c r="Q432" s="710"/>
      <c r="R432" s="710"/>
      <c r="S432" s="710"/>
      <c r="T432" s="710"/>
      <c r="U432" s="710"/>
      <c r="V432" s="710"/>
      <c r="W432" s="710"/>
      <c r="X432" s="710"/>
      <c r="Y432" s="710"/>
      <c r="Z432" s="710"/>
      <c r="AA432" s="710"/>
      <c r="AB432" s="710"/>
      <c r="AC432" s="710"/>
      <c r="AD432" s="710"/>
      <c r="AE432" s="710"/>
      <c r="AF432" s="710"/>
      <c r="AG432" s="710"/>
      <c r="AH432" s="710"/>
      <c r="AI432" s="710"/>
      <c r="AJ432" s="710"/>
      <c r="AK432" s="710"/>
      <c r="AL432" s="710"/>
      <c r="AM432" s="710"/>
      <c r="AN432" s="710"/>
      <c r="AO432" s="710"/>
      <c r="AP432" s="710"/>
    </row>
    <row r="433" spans="2:42">
      <c r="B433" s="710"/>
      <c r="C433" s="710"/>
      <c r="D433" s="710"/>
      <c r="E433" s="710"/>
      <c r="F433" s="710"/>
      <c r="G433" s="710"/>
      <c r="H433" s="710"/>
      <c r="I433" s="710"/>
      <c r="J433" s="710"/>
      <c r="K433" s="710"/>
      <c r="L433" s="710"/>
      <c r="M433" s="710"/>
      <c r="N433" s="710"/>
      <c r="O433" s="710"/>
      <c r="P433" s="710"/>
      <c r="Q433" s="710"/>
      <c r="R433" s="710"/>
      <c r="S433" s="710"/>
      <c r="T433" s="710"/>
      <c r="U433" s="710"/>
      <c r="V433" s="710"/>
      <c r="W433" s="710"/>
      <c r="X433" s="710"/>
      <c r="Y433" s="710"/>
      <c r="Z433" s="710"/>
      <c r="AA433" s="710"/>
      <c r="AB433" s="710"/>
      <c r="AC433" s="710"/>
      <c r="AD433" s="710"/>
      <c r="AE433" s="710"/>
      <c r="AF433" s="710"/>
      <c r="AG433" s="710"/>
      <c r="AH433" s="710"/>
      <c r="AI433" s="710"/>
      <c r="AJ433" s="710"/>
      <c r="AK433" s="710"/>
      <c r="AL433" s="710"/>
      <c r="AM433" s="710"/>
      <c r="AN433" s="710"/>
      <c r="AO433" s="710"/>
      <c r="AP433" s="710"/>
    </row>
    <row r="434" spans="2:42">
      <c r="B434" s="710"/>
      <c r="C434" s="710"/>
      <c r="D434" s="710"/>
      <c r="E434" s="710"/>
      <c r="F434" s="710"/>
      <c r="G434" s="710"/>
      <c r="H434" s="710"/>
      <c r="I434" s="710"/>
      <c r="J434" s="710"/>
      <c r="K434" s="710"/>
      <c r="L434" s="710"/>
      <c r="M434" s="710"/>
      <c r="N434" s="710"/>
      <c r="O434" s="710"/>
      <c r="P434" s="710"/>
      <c r="Q434" s="710"/>
      <c r="R434" s="710"/>
      <c r="S434" s="710"/>
      <c r="T434" s="710"/>
      <c r="U434" s="710"/>
      <c r="V434" s="710"/>
      <c r="W434" s="710"/>
      <c r="X434" s="710"/>
      <c r="Y434" s="710"/>
      <c r="Z434" s="710"/>
      <c r="AA434" s="710"/>
      <c r="AB434" s="710"/>
      <c r="AC434" s="710"/>
      <c r="AD434" s="710"/>
      <c r="AE434" s="710"/>
      <c r="AF434" s="710"/>
      <c r="AG434" s="710"/>
      <c r="AH434" s="710"/>
      <c r="AI434" s="710"/>
      <c r="AJ434" s="710"/>
      <c r="AK434" s="710"/>
      <c r="AL434" s="710"/>
      <c r="AM434" s="710"/>
      <c r="AN434" s="710"/>
      <c r="AO434" s="710"/>
      <c r="AP434" s="710"/>
    </row>
    <row r="435" spans="2:42">
      <c r="B435" s="710"/>
      <c r="C435" s="710"/>
      <c r="D435" s="710"/>
      <c r="E435" s="710"/>
      <c r="F435" s="710"/>
      <c r="G435" s="710"/>
      <c r="H435" s="710"/>
      <c r="I435" s="710"/>
      <c r="J435" s="710"/>
      <c r="K435" s="710"/>
      <c r="L435" s="710"/>
      <c r="M435" s="710"/>
      <c r="N435" s="710"/>
      <c r="O435" s="710"/>
      <c r="P435" s="710"/>
      <c r="Q435" s="710"/>
      <c r="R435" s="710"/>
      <c r="S435" s="710"/>
      <c r="T435" s="710"/>
      <c r="U435" s="710"/>
      <c r="V435" s="710"/>
      <c r="W435" s="710"/>
      <c r="X435" s="710"/>
      <c r="Y435" s="710"/>
      <c r="Z435" s="710"/>
      <c r="AA435" s="710"/>
      <c r="AB435" s="710"/>
      <c r="AC435" s="710"/>
      <c r="AD435" s="710"/>
      <c r="AE435" s="710"/>
      <c r="AF435" s="710"/>
      <c r="AG435" s="710"/>
      <c r="AH435" s="710"/>
      <c r="AI435" s="710"/>
      <c r="AJ435" s="710"/>
      <c r="AK435" s="710"/>
      <c r="AL435" s="710"/>
      <c r="AM435" s="710"/>
      <c r="AN435" s="710"/>
      <c r="AO435" s="710"/>
      <c r="AP435" s="710"/>
    </row>
    <row r="436" spans="2:42">
      <c r="B436" s="710"/>
      <c r="C436" s="710"/>
      <c r="D436" s="710"/>
      <c r="E436" s="710"/>
      <c r="F436" s="710"/>
      <c r="G436" s="710"/>
      <c r="H436" s="710"/>
      <c r="I436" s="710"/>
      <c r="J436" s="710"/>
      <c r="K436" s="710"/>
      <c r="L436" s="710"/>
      <c r="M436" s="710"/>
      <c r="N436" s="710"/>
      <c r="O436" s="710"/>
      <c r="P436" s="710"/>
      <c r="Q436" s="710"/>
      <c r="R436" s="710"/>
      <c r="S436" s="710"/>
      <c r="T436" s="710"/>
      <c r="U436" s="710"/>
      <c r="V436" s="710"/>
      <c r="W436" s="710"/>
      <c r="X436" s="710"/>
      <c r="Y436" s="710"/>
      <c r="Z436" s="710"/>
      <c r="AA436" s="710"/>
      <c r="AB436" s="710"/>
      <c r="AC436" s="710"/>
      <c r="AD436" s="710"/>
      <c r="AE436" s="710"/>
      <c r="AF436" s="710"/>
      <c r="AG436" s="710"/>
      <c r="AH436" s="710"/>
      <c r="AI436" s="710"/>
      <c r="AJ436" s="710"/>
      <c r="AK436" s="710"/>
      <c r="AL436" s="710"/>
      <c r="AM436" s="710"/>
      <c r="AN436" s="710"/>
      <c r="AO436" s="710"/>
      <c r="AP436" s="710"/>
    </row>
    <row r="437" spans="2:42">
      <c r="B437" s="710"/>
      <c r="C437" s="710"/>
      <c r="D437" s="710"/>
      <c r="E437" s="710"/>
      <c r="F437" s="710"/>
      <c r="G437" s="710"/>
      <c r="H437" s="710"/>
      <c r="I437" s="710"/>
      <c r="J437" s="710"/>
      <c r="K437" s="710"/>
      <c r="L437" s="710"/>
      <c r="M437" s="710"/>
      <c r="N437" s="710"/>
      <c r="O437" s="710"/>
      <c r="P437" s="710"/>
      <c r="Q437" s="710"/>
      <c r="R437" s="710"/>
      <c r="S437" s="710"/>
      <c r="T437" s="710"/>
      <c r="U437" s="710"/>
      <c r="V437" s="710"/>
      <c r="W437" s="710"/>
      <c r="X437" s="710"/>
      <c r="Y437" s="710"/>
      <c r="Z437" s="710"/>
      <c r="AA437" s="710"/>
      <c r="AB437" s="710"/>
      <c r="AC437" s="710"/>
      <c r="AD437" s="710"/>
      <c r="AE437" s="710"/>
      <c r="AF437" s="710"/>
      <c r="AG437" s="710"/>
      <c r="AH437" s="710"/>
      <c r="AI437" s="710"/>
      <c r="AJ437" s="710"/>
      <c r="AK437" s="710"/>
      <c r="AL437" s="710"/>
      <c r="AM437" s="710"/>
      <c r="AN437" s="710"/>
      <c r="AO437" s="710"/>
      <c r="AP437" s="710"/>
    </row>
    <row r="438" spans="2:42">
      <c r="B438" s="710"/>
      <c r="C438" s="710"/>
      <c r="D438" s="710"/>
      <c r="E438" s="710"/>
      <c r="F438" s="710"/>
      <c r="G438" s="710"/>
      <c r="H438" s="710"/>
      <c r="I438" s="710"/>
      <c r="J438" s="710"/>
      <c r="K438" s="710"/>
      <c r="L438" s="710"/>
      <c r="M438" s="710"/>
      <c r="N438" s="710"/>
      <c r="O438" s="710"/>
      <c r="P438" s="710"/>
      <c r="Q438" s="710"/>
      <c r="R438" s="710"/>
      <c r="S438" s="710"/>
      <c r="T438" s="710"/>
      <c r="U438" s="710"/>
      <c r="V438" s="710"/>
      <c r="W438" s="710"/>
      <c r="X438" s="710"/>
      <c r="Y438" s="710"/>
      <c r="Z438" s="710"/>
      <c r="AA438" s="710"/>
      <c r="AB438" s="710"/>
      <c r="AC438" s="710"/>
      <c r="AD438" s="710"/>
      <c r="AE438" s="710"/>
      <c r="AF438" s="710"/>
      <c r="AG438" s="710"/>
      <c r="AH438" s="710"/>
      <c r="AI438" s="710"/>
      <c r="AJ438" s="710"/>
      <c r="AK438" s="710"/>
      <c r="AL438" s="710"/>
      <c r="AM438" s="710"/>
      <c r="AN438" s="710"/>
      <c r="AO438" s="710"/>
      <c r="AP438" s="710"/>
    </row>
    <row r="439" spans="2:42">
      <c r="B439" s="710"/>
      <c r="C439" s="710"/>
      <c r="D439" s="710"/>
      <c r="E439" s="710"/>
      <c r="F439" s="710"/>
      <c r="G439" s="710"/>
      <c r="H439" s="710"/>
      <c r="I439" s="710"/>
      <c r="J439" s="710"/>
      <c r="K439" s="710"/>
      <c r="L439" s="710"/>
      <c r="M439" s="710"/>
      <c r="N439" s="710"/>
      <c r="O439" s="710"/>
      <c r="P439" s="710"/>
      <c r="Q439" s="710"/>
      <c r="R439" s="710"/>
      <c r="S439" s="710"/>
      <c r="T439" s="710"/>
      <c r="U439" s="710"/>
      <c r="V439" s="710"/>
      <c r="W439" s="710"/>
      <c r="X439" s="710"/>
      <c r="Y439" s="710"/>
      <c r="Z439" s="710"/>
      <c r="AA439" s="710"/>
      <c r="AB439" s="710"/>
      <c r="AC439" s="710"/>
      <c r="AD439" s="710"/>
      <c r="AE439" s="710"/>
      <c r="AF439" s="710"/>
      <c r="AG439" s="710"/>
      <c r="AH439" s="710"/>
      <c r="AI439" s="710"/>
      <c r="AJ439" s="710"/>
      <c r="AK439" s="710"/>
      <c r="AL439" s="710"/>
      <c r="AM439" s="710"/>
      <c r="AN439" s="710"/>
      <c r="AO439" s="710"/>
      <c r="AP439" s="710"/>
    </row>
    <row r="440" spans="2:42">
      <c r="B440" s="710"/>
      <c r="C440" s="710"/>
      <c r="D440" s="710"/>
      <c r="E440" s="710"/>
      <c r="F440" s="710"/>
      <c r="G440" s="710"/>
      <c r="H440" s="710"/>
      <c r="I440" s="710"/>
      <c r="J440" s="710"/>
      <c r="K440" s="710"/>
      <c r="L440" s="710"/>
      <c r="M440" s="710"/>
      <c r="N440" s="710"/>
      <c r="O440" s="710"/>
      <c r="P440" s="710"/>
      <c r="Q440" s="710"/>
      <c r="R440" s="710"/>
      <c r="S440" s="710"/>
      <c r="T440" s="710"/>
      <c r="U440" s="710"/>
      <c r="V440" s="710"/>
      <c r="W440" s="710"/>
      <c r="X440" s="710"/>
      <c r="Y440" s="710"/>
      <c r="Z440" s="710"/>
      <c r="AA440" s="710"/>
      <c r="AB440" s="710"/>
      <c r="AC440" s="710"/>
      <c r="AD440" s="710"/>
      <c r="AE440" s="710"/>
      <c r="AF440" s="710"/>
      <c r="AG440" s="710"/>
      <c r="AH440" s="710"/>
      <c r="AI440" s="710"/>
      <c r="AJ440" s="710"/>
      <c r="AK440" s="710"/>
      <c r="AL440" s="710"/>
      <c r="AM440" s="710"/>
      <c r="AN440" s="710"/>
      <c r="AO440" s="710"/>
      <c r="AP440" s="710"/>
    </row>
    <row r="441" spans="2:42">
      <c r="B441" s="710"/>
      <c r="C441" s="710"/>
      <c r="D441" s="710"/>
      <c r="E441" s="710"/>
      <c r="F441" s="710"/>
      <c r="G441" s="710"/>
      <c r="H441" s="710"/>
      <c r="I441" s="710"/>
      <c r="J441" s="710"/>
      <c r="K441" s="710"/>
      <c r="L441" s="710"/>
      <c r="M441" s="710"/>
      <c r="N441" s="710"/>
      <c r="O441" s="710"/>
      <c r="P441" s="710"/>
      <c r="Q441" s="710"/>
      <c r="R441" s="710"/>
      <c r="S441" s="710"/>
      <c r="T441" s="710"/>
      <c r="U441" s="710"/>
      <c r="V441" s="710"/>
      <c r="W441" s="710"/>
      <c r="X441" s="710"/>
      <c r="Y441" s="710"/>
      <c r="Z441" s="710"/>
      <c r="AA441" s="710"/>
      <c r="AB441" s="710"/>
      <c r="AC441" s="710"/>
      <c r="AD441" s="710"/>
      <c r="AE441" s="710"/>
      <c r="AF441" s="710"/>
      <c r="AG441" s="710"/>
      <c r="AH441" s="710"/>
      <c r="AI441" s="710"/>
      <c r="AJ441" s="710"/>
      <c r="AK441" s="710"/>
      <c r="AL441" s="710"/>
      <c r="AM441" s="710"/>
      <c r="AN441" s="710"/>
      <c r="AO441" s="710"/>
      <c r="AP441" s="710"/>
    </row>
    <row r="442" spans="2:42">
      <c r="B442" s="710"/>
      <c r="C442" s="710"/>
      <c r="D442" s="710"/>
      <c r="E442" s="710"/>
      <c r="F442" s="710"/>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10"/>
      <c r="AF442" s="710"/>
      <c r="AG442" s="710"/>
      <c r="AH442" s="710"/>
      <c r="AI442" s="710"/>
      <c r="AJ442" s="710"/>
      <c r="AK442" s="710"/>
      <c r="AL442" s="710"/>
      <c r="AM442" s="710"/>
      <c r="AN442" s="710"/>
      <c r="AO442" s="710"/>
      <c r="AP442" s="710"/>
    </row>
    <row r="443" spans="2:42">
      <c r="B443" s="710"/>
      <c r="C443" s="710"/>
      <c r="D443" s="710"/>
      <c r="E443" s="710"/>
      <c r="F443" s="710"/>
      <c r="G443" s="710"/>
      <c r="H443" s="710"/>
      <c r="I443" s="710"/>
      <c r="J443" s="710"/>
      <c r="K443" s="710"/>
      <c r="L443" s="710"/>
      <c r="M443" s="710"/>
      <c r="N443" s="710"/>
      <c r="O443" s="710"/>
      <c r="P443" s="710"/>
      <c r="Q443" s="710"/>
      <c r="R443" s="710"/>
      <c r="S443" s="710"/>
      <c r="T443" s="710"/>
      <c r="U443" s="710"/>
      <c r="V443" s="710"/>
      <c r="W443" s="710"/>
      <c r="X443" s="710"/>
      <c r="Y443" s="710"/>
      <c r="Z443" s="710"/>
      <c r="AA443" s="710"/>
      <c r="AB443" s="710"/>
      <c r="AC443" s="710"/>
      <c r="AD443" s="710"/>
      <c r="AE443" s="710"/>
      <c r="AF443" s="710"/>
      <c r="AG443" s="710"/>
      <c r="AH443" s="710"/>
      <c r="AI443" s="710"/>
      <c r="AJ443" s="710"/>
      <c r="AK443" s="710"/>
      <c r="AL443" s="710"/>
      <c r="AM443" s="710"/>
      <c r="AN443" s="710"/>
      <c r="AO443" s="710"/>
      <c r="AP443" s="710"/>
    </row>
    <row r="444" spans="2:42">
      <c r="B444" s="710"/>
      <c r="C444" s="710"/>
      <c r="D444" s="710"/>
      <c r="E444" s="710"/>
      <c r="F444" s="710"/>
      <c r="G444" s="710"/>
      <c r="H444" s="710"/>
      <c r="I444" s="710"/>
      <c r="J444" s="710"/>
      <c r="K444" s="710"/>
      <c r="L444" s="710"/>
      <c r="M444" s="710"/>
      <c r="N444" s="710"/>
      <c r="O444" s="710"/>
      <c r="P444" s="710"/>
      <c r="Q444" s="710"/>
      <c r="R444" s="710"/>
      <c r="S444" s="710"/>
      <c r="T444" s="710"/>
      <c r="U444" s="710"/>
      <c r="V444" s="710"/>
      <c r="W444" s="710"/>
      <c r="X444" s="710"/>
      <c r="Y444" s="710"/>
      <c r="Z444" s="710"/>
      <c r="AA444" s="710"/>
      <c r="AB444" s="710"/>
      <c r="AC444" s="710"/>
      <c r="AD444" s="710"/>
      <c r="AE444" s="710"/>
      <c r="AF444" s="710"/>
      <c r="AG444" s="710"/>
      <c r="AH444" s="710"/>
      <c r="AI444" s="710"/>
      <c r="AJ444" s="710"/>
      <c r="AK444" s="710"/>
      <c r="AL444" s="710"/>
      <c r="AM444" s="710"/>
      <c r="AN444" s="710"/>
      <c r="AO444" s="710"/>
      <c r="AP444" s="710"/>
    </row>
    <row r="445" spans="2:42">
      <c r="B445" s="710"/>
      <c r="C445" s="710"/>
      <c r="D445" s="710"/>
      <c r="E445" s="710"/>
      <c r="F445" s="710"/>
      <c r="G445" s="710"/>
      <c r="H445" s="710"/>
      <c r="I445" s="710"/>
      <c r="J445" s="710"/>
      <c r="K445" s="710"/>
      <c r="L445" s="710"/>
      <c r="M445" s="710"/>
      <c r="N445" s="710"/>
      <c r="O445" s="710"/>
      <c r="P445" s="710"/>
      <c r="Q445" s="710"/>
      <c r="R445" s="710"/>
      <c r="S445" s="710"/>
      <c r="T445" s="710"/>
      <c r="U445" s="710"/>
      <c r="V445" s="710"/>
      <c r="W445" s="710"/>
      <c r="X445" s="710"/>
      <c r="Y445" s="710"/>
      <c r="Z445" s="710"/>
      <c r="AA445" s="710"/>
      <c r="AB445" s="710"/>
      <c r="AC445" s="710"/>
      <c r="AD445" s="710"/>
      <c r="AE445" s="710"/>
      <c r="AF445" s="710"/>
      <c r="AG445" s="710"/>
      <c r="AH445" s="710"/>
      <c r="AI445" s="710"/>
      <c r="AJ445" s="710"/>
      <c r="AK445" s="710"/>
      <c r="AL445" s="710"/>
      <c r="AM445" s="710"/>
      <c r="AN445" s="710"/>
      <c r="AO445" s="710"/>
      <c r="AP445" s="710"/>
    </row>
    <row r="446" spans="2:42">
      <c r="B446" s="710"/>
      <c r="C446" s="710"/>
      <c r="D446" s="710"/>
      <c r="E446" s="710"/>
      <c r="F446" s="710"/>
      <c r="G446" s="710"/>
      <c r="H446" s="710"/>
      <c r="I446" s="710"/>
      <c r="J446" s="710"/>
      <c r="K446" s="710"/>
      <c r="L446" s="710"/>
      <c r="M446" s="710"/>
      <c r="N446" s="710"/>
      <c r="O446" s="710"/>
      <c r="P446" s="710"/>
      <c r="Q446" s="710"/>
      <c r="R446" s="710"/>
      <c r="S446" s="710"/>
      <c r="T446" s="710"/>
      <c r="U446" s="710"/>
      <c r="V446" s="710"/>
      <c r="W446" s="710"/>
      <c r="X446" s="710"/>
      <c r="Y446" s="710"/>
      <c r="Z446" s="710"/>
      <c r="AA446" s="710"/>
      <c r="AB446" s="710"/>
      <c r="AC446" s="710"/>
      <c r="AD446" s="710"/>
      <c r="AE446" s="710"/>
      <c r="AF446" s="710"/>
      <c r="AG446" s="710"/>
      <c r="AH446" s="710"/>
      <c r="AI446" s="710"/>
      <c r="AJ446" s="710"/>
      <c r="AK446" s="710"/>
      <c r="AL446" s="710"/>
      <c r="AM446" s="710"/>
      <c r="AN446" s="710"/>
      <c r="AO446" s="710"/>
      <c r="AP446" s="710"/>
    </row>
    <row r="447" spans="2:42">
      <c r="B447" s="710"/>
      <c r="C447" s="710"/>
      <c r="D447" s="710"/>
      <c r="E447" s="710"/>
      <c r="F447" s="710"/>
      <c r="G447" s="710"/>
      <c r="H447" s="710"/>
      <c r="I447" s="710"/>
      <c r="J447" s="710"/>
      <c r="K447" s="710"/>
      <c r="L447" s="710"/>
      <c r="M447" s="710"/>
      <c r="N447" s="710"/>
      <c r="O447" s="710"/>
      <c r="P447" s="710"/>
      <c r="Q447" s="710"/>
      <c r="R447" s="710"/>
      <c r="S447" s="710"/>
      <c r="T447" s="710"/>
      <c r="U447" s="710"/>
      <c r="V447" s="710"/>
      <c r="W447" s="710"/>
      <c r="X447" s="710"/>
      <c r="Y447" s="710"/>
      <c r="Z447" s="710"/>
      <c r="AA447" s="710"/>
      <c r="AB447" s="710"/>
      <c r="AC447" s="710"/>
      <c r="AD447" s="710"/>
      <c r="AE447" s="710"/>
      <c r="AF447" s="710"/>
      <c r="AG447" s="710"/>
      <c r="AH447" s="710"/>
      <c r="AI447" s="710"/>
      <c r="AJ447" s="710"/>
      <c r="AK447" s="710"/>
      <c r="AL447" s="710"/>
      <c r="AM447" s="710"/>
      <c r="AN447" s="710"/>
      <c r="AO447" s="710"/>
      <c r="AP447" s="710"/>
    </row>
    <row r="448" spans="2:42">
      <c r="B448" s="710"/>
      <c r="C448" s="710"/>
      <c r="D448" s="710"/>
      <c r="E448" s="710"/>
      <c r="F448" s="710"/>
      <c r="G448" s="710"/>
      <c r="H448" s="710"/>
      <c r="I448" s="710"/>
      <c r="J448" s="710"/>
      <c r="K448" s="710"/>
      <c r="L448" s="710"/>
      <c r="M448" s="710"/>
      <c r="N448" s="710"/>
      <c r="O448" s="710"/>
      <c r="P448" s="710"/>
      <c r="Q448" s="710"/>
      <c r="R448" s="710"/>
      <c r="S448" s="710"/>
      <c r="T448" s="710"/>
      <c r="U448" s="710"/>
      <c r="V448" s="710"/>
      <c r="W448" s="710"/>
      <c r="X448" s="710"/>
      <c r="Y448" s="710"/>
      <c r="Z448" s="710"/>
      <c r="AA448" s="710"/>
      <c r="AB448" s="710"/>
      <c r="AC448" s="710"/>
      <c r="AD448" s="710"/>
      <c r="AE448" s="710"/>
      <c r="AF448" s="710"/>
      <c r="AG448" s="710"/>
      <c r="AH448" s="710"/>
      <c r="AI448" s="710"/>
      <c r="AJ448" s="710"/>
      <c r="AK448" s="710"/>
      <c r="AL448" s="710"/>
      <c r="AM448" s="710"/>
      <c r="AN448" s="710"/>
      <c r="AO448" s="710"/>
      <c r="AP448" s="710"/>
    </row>
    <row r="449" spans="2:42">
      <c r="B449" s="710"/>
      <c r="C449" s="710"/>
      <c r="D449" s="710"/>
      <c r="E449" s="710"/>
      <c r="F449" s="710"/>
      <c r="G449" s="710"/>
      <c r="H449" s="710"/>
      <c r="I449" s="710"/>
      <c r="J449" s="710"/>
      <c r="K449" s="710"/>
      <c r="L449" s="710"/>
      <c r="M449" s="710"/>
      <c r="N449" s="710"/>
      <c r="O449" s="710"/>
      <c r="P449" s="710"/>
      <c r="Q449" s="710"/>
      <c r="R449" s="710"/>
      <c r="S449" s="710"/>
      <c r="T449" s="710"/>
      <c r="U449" s="710"/>
      <c r="V449" s="710"/>
      <c r="W449" s="710"/>
      <c r="X449" s="710"/>
      <c r="Y449" s="710"/>
      <c r="Z449" s="710"/>
      <c r="AA449" s="710"/>
      <c r="AB449" s="710"/>
      <c r="AC449" s="710"/>
      <c r="AD449" s="710"/>
      <c r="AE449" s="710"/>
      <c r="AF449" s="710"/>
      <c r="AG449" s="710"/>
      <c r="AH449" s="710"/>
      <c r="AI449" s="710"/>
      <c r="AJ449" s="710"/>
      <c r="AK449" s="710"/>
      <c r="AL449" s="710"/>
      <c r="AM449" s="710"/>
      <c r="AN449" s="710"/>
      <c r="AO449" s="710"/>
      <c r="AP449" s="710"/>
    </row>
    <row r="450" spans="2:42">
      <c r="B450" s="710"/>
      <c r="C450" s="710"/>
      <c r="D450" s="710"/>
      <c r="E450" s="710"/>
      <c r="F450" s="710"/>
      <c r="G450" s="710"/>
      <c r="H450" s="710"/>
      <c r="I450" s="710"/>
      <c r="J450" s="710"/>
      <c r="K450" s="710"/>
      <c r="L450" s="710"/>
      <c r="M450" s="710"/>
      <c r="N450" s="710"/>
      <c r="O450" s="710"/>
      <c r="P450" s="710"/>
      <c r="Q450" s="710"/>
      <c r="R450" s="710"/>
      <c r="S450" s="710"/>
      <c r="T450" s="710"/>
      <c r="U450" s="710"/>
      <c r="V450" s="710"/>
      <c r="W450" s="710"/>
      <c r="X450" s="710"/>
      <c r="Y450" s="710"/>
      <c r="Z450" s="710"/>
      <c r="AA450" s="710"/>
      <c r="AB450" s="710"/>
      <c r="AC450" s="710"/>
      <c r="AD450" s="710"/>
      <c r="AE450" s="710"/>
      <c r="AF450" s="710"/>
      <c r="AG450" s="710"/>
      <c r="AH450" s="710"/>
      <c r="AI450" s="710"/>
      <c r="AJ450" s="710"/>
      <c r="AK450" s="710"/>
      <c r="AL450" s="710"/>
      <c r="AM450" s="710"/>
      <c r="AN450" s="710"/>
      <c r="AO450" s="710"/>
      <c r="AP450" s="710"/>
    </row>
    <row r="451" spans="2:42">
      <c r="B451" s="710"/>
      <c r="C451" s="710"/>
      <c r="D451" s="710"/>
      <c r="E451" s="710"/>
      <c r="F451" s="710"/>
      <c r="G451" s="710"/>
      <c r="H451" s="710"/>
      <c r="I451" s="710"/>
      <c r="J451" s="710"/>
      <c r="K451" s="710"/>
      <c r="L451" s="710"/>
      <c r="M451" s="710"/>
      <c r="N451" s="710"/>
      <c r="O451" s="710"/>
      <c r="P451" s="710"/>
      <c r="Q451" s="710"/>
      <c r="R451" s="710"/>
      <c r="S451" s="710"/>
      <c r="T451" s="710"/>
      <c r="U451" s="710"/>
      <c r="V451" s="710"/>
      <c r="W451" s="710"/>
      <c r="X451" s="710"/>
      <c r="Y451" s="710"/>
      <c r="Z451" s="710"/>
      <c r="AA451" s="710"/>
      <c r="AB451" s="710"/>
      <c r="AC451" s="710"/>
      <c r="AD451" s="710"/>
      <c r="AE451" s="710"/>
      <c r="AF451" s="710"/>
      <c r="AG451" s="710"/>
      <c r="AH451" s="710"/>
      <c r="AI451" s="710"/>
      <c r="AJ451" s="710"/>
      <c r="AK451" s="710"/>
      <c r="AL451" s="710"/>
      <c r="AM451" s="710"/>
      <c r="AN451" s="710"/>
      <c r="AO451" s="710"/>
      <c r="AP451" s="710"/>
    </row>
    <row r="452" spans="2:42">
      <c r="B452" s="710"/>
      <c r="C452" s="710"/>
      <c r="D452" s="710"/>
      <c r="E452" s="710"/>
      <c r="F452" s="710"/>
      <c r="G452" s="710"/>
      <c r="H452" s="710"/>
      <c r="I452" s="710"/>
      <c r="J452" s="710"/>
      <c r="K452" s="710"/>
      <c r="L452" s="710"/>
      <c r="M452" s="710"/>
      <c r="N452" s="710"/>
      <c r="O452" s="710"/>
      <c r="P452" s="710"/>
      <c r="Q452" s="710"/>
      <c r="R452" s="710"/>
      <c r="S452" s="710"/>
      <c r="T452" s="710"/>
      <c r="U452" s="710"/>
      <c r="V452" s="710"/>
      <c r="W452" s="710"/>
      <c r="X452" s="710"/>
      <c r="Y452" s="710"/>
      <c r="Z452" s="710"/>
      <c r="AA452" s="710"/>
      <c r="AB452" s="710"/>
      <c r="AC452" s="710"/>
      <c r="AD452" s="710"/>
      <c r="AE452" s="710"/>
      <c r="AF452" s="710"/>
      <c r="AG452" s="710"/>
      <c r="AH452" s="710"/>
      <c r="AI452" s="710"/>
      <c r="AJ452" s="710"/>
      <c r="AK452" s="710"/>
      <c r="AL452" s="710"/>
      <c r="AM452" s="710"/>
      <c r="AN452" s="710"/>
      <c r="AO452" s="710"/>
      <c r="AP452" s="710"/>
    </row>
    <row r="453" spans="2:42">
      <c r="B453" s="710"/>
      <c r="C453" s="710"/>
      <c r="D453" s="710"/>
      <c r="E453" s="710"/>
      <c r="F453" s="710"/>
      <c r="G453" s="710"/>
      <c r="H453" s="710"/>
      <c r="I453" s="710"/>
      <c r="J453" s="710"/>
      <c r="K453" s="710"/>
      <c r="L453" s="710"/>
      <c r="M453" s="710"/>
      <c r="N453" s="710"/>
      <c r="O453" s="710"/>
      <c r="P453" s="710"/>
      <c r="Q453" s="710"/>
      <c r="R453" s="710"/>
      <c r="S453" s="710"/>
      <c r="T453" s="710"/>
      <c r="U453" s="710"/>
      <c r="V453" s="710"/>
      <c r="W453" s="710"/>
      <c r="X453" s="710"/>
      <c r="Y453" s="710"/>
      <c r="Z453" s="710"/>
      <c r="AA453" s="710"/>
      <c r="AB453" s="710"/>
      <c r="AC453" s="710"/>
      <c r="AD453" s="710"/>
      <c r="AE453" s="710"/>
      <c r="AF453" s="710"/>
      <c r="AG453" s="710"/>
      <c r="AH453" s="710"/>
      <c r="AI453" s="710"/>
      <c r="AJ453" s="710"/>
      <c r="AK453" s="710"/>
      <c r="AL453" s="710"/>
      <c r="AM453" s="710"/>
      <c r="AN453" s="710"/>
      <c r="AO453" s="710"/>
      <c r="AP453" s="710"/>
    </row>
    <row r="454" spans="2:42">
      <c r="B454" s="710"/>
      <c r="C454" s="710"/>
      <c r="D454" s="710"/>
      <c r="E454" s="710"/>
      <c r="F454" s="710"/>
      <c r="G454" s="710"/>
      <c r="H454" s="710"/>
      <c r="I454" s="710"/>
      <c r="J454" s="710"/>
      <c r="K454" s="710"/>
      <c r="L454" s="710"/>
      <c r="M454" s="710"/>
      <c r="N454" s="710"/>
      <c r="O454" s="710"/>
      <c r="P454" s="710"/>
      <c r="Q454" s="710"/>
      <c r="R454" s="710"/>
      <c r="S454" s="710"/>
      <c r="T454" s="710"/>
      <c r="U454" s="710"/>
      <c r="V454" s="710"/>
      <c r="W454" s="710"/>
      <c r="X454" s="710"/>
      <c r="Y454" s="710"/>
      <c r="Z454" s="710"/>
      <c r="AA454" s="710"/>
      <c r="AB454" s="710"/>
      <c r="AC454" s="710"/>
      <c r="AD454" s="710"/>
      <c r="AE454" s="710"/>
      <c r="AF454" s="710"/>
      <c r="AG454" s="710"/>
      <c r="AH454" s="710"/>
      <c r="AI454" s="710"/>
      <c r="AJ454" s="710"/>
      <c r="AK454" s="710"/>
      <c r="AL454" s="710"/>
      <c r="AM454" s="710"/>
      <c r="AN454" s="710"/>
      <c r="AO454" s="710"/>
      <c r="AP454" s="710"/>
    </row>
    <row r="455" spans="2:42">
      <c r="B455" s="710"/>
      <c r="C455" s="710"/>
      <c r="D455" s="710"/>
      <c r="E455" s="710"/>
      <c r="F455" s="710"/>
      <c r="G455" s="710"/>
      <c r="H455" s="710"/>
      <c r="I455" s="710"/>
      <c r="J455" s="710"/>
      <c r="K455" s="710"/>
      <c r="L455" s="710"/>
      <c r="M455" s="710"/>
      <c r="N455" s="710"/>
      <c r="O455" s="710"/>
      <c r="P455" s="710"/>
      <c r="Q455" s="710"/>
      <c r="R455" s="710"/>
      <c r="S455" s="710"/>
      <c r="T455" s="710"/>
      <c r="U455" s="710"/>
      <c r="V455" s="710"/>
      <c r="W455" s="710"/>
      <c r="X455" s="710"/>
      <c r="Y455" s="710"/>
      <c r="Z455" s="710"/>
      <c r="AA455" s="710"/>
      <c r="AB455" s="710"/>
      <c r="AC455" s="710"/>
      <c r="AD455" s="710"/>
      <c r="AE455" s="710"/>
      <c r="AF455" s="710"/>
      <c r="AG455" s="710"/>
      <c r="AH455" s="710"/>
      <c r="AI455" s="710"/>
      <c r="AJ455" s="710"/>
      <c r="AK455" s="710"/>
      <c r="AL455" s="710"/>
      <c r="AM455" s="710"/>
      <c r="AN455" s="710"/>
      <c r="AO455" s="710"/>
      <c r="AP455" s="710"/>
    </row>
    <row r="456" spans="2:42">
      <c r="B456" s="710"/>
      <c r="C456" s="710"/>
      <c r="D456" s="710"/>
      <c r="E456" s="710"/>
      <c r="F456" s="710"/>
      <c r="G456" s="710"/>
      <c r="H456" s="710"/>
      <c r="I456" s="710"/>
      <c r="J456" s="710"/>
      <c r="K456" s="710"/>
      <c r="L456" s="710"/>
      <c r="M456" s="710"/>
      <c r="N456" s="710"/>
      <c r="O456" s="710"/>
      <c r="P456" s="710"/>
      <c r="Q456" s="710"/>
      <c r="R456" s="710"/>
      <c r="S456" s="710"/>
      <c r="T456" s="710"/>
      <c r="U456" s="710"/>
      <c r="V456" s="710"/>
      <c r="W456" s="710"/>
      <c r="X456" s="710"/>
      <c r="Y456" s="710"/>
      <c r="Z456" s="710"/>
      <c r="AA456" s="710"/>
      <c r="AB456" s="710"/>
      <c r="AC456" s="710"/>
      <c r="AD456" s="710"/>
      <c r="AE456" s="710"/>
      <c r="AF456" s="710"/>
      <c r="AG456" s="710"/>
      <c r="AH456" s="710"/>
      <c r="AI456" s="710"/>
      <c r="AJ456" s="710"/>
      <c r="AK456" s="710"/>
      <c r="AL456" s="710"/>
      <c r="AM456" s="710"/>
      <c r="AN456" s="710"/>
      <c r="AO456" s="710"/>
      <c r="AP456" s="710"/>
    </row>
    <row r="457" spans="2:42">
      <c r="B457" s="710"/>
      <c r="C457" s="710"/>
      <c r="D457" s="710"/>
      <c r="E457" s="710"/>
      <c r="F457" s="710"/>
      <c r="G457" s="710"/>
      <c r="H457" s="710"/>
      <c r="I457" s="710"/>
      <c r="J457" s="710"/>
      <c r="K457" s="710"/>
      <c r="L457" s="710"/>
      <c r="M457" s="710"/>
      <c r="N457" s="710"/>
      <c r="O457" s="710"/>
      <c r="P457" s="710"/>
      <c r="Q457" s="710"/>
      <c r="R457" s="710"/>
      <c r="S457" s="710"/>
      <c r="T457" s="710"/>
      <c r="U457" s="710"/>
      <c r="V457" s="710"/>
      <c r="W457" s="710"/>
      <c r="X457" s="710"/>
      <c r="Y457" s="710"/>
      <c r="Z457" s="710"/>
      <c r="AA457" s="710"/>
      <c r="AB457" s="710"/>
      <c r="AC457" s="710"/>
      <c r="AD457" s="710"/>
      <c r="AE457" s="710"/>
      <c r="AF457" s="710"/>
      <c r="AG457" s="710"/>
      <c r="AH457" s="710"/>
      <c r="AI457" s="710"/>
      <c r="AJ457" s="710"/>
      <c r="AK457" s="710"/>
      <c r="AL457" s="710"/>
      <c r="AM457" s="710"/>
      <c r="AN457" s="710"/>
      <c r="AO457" s="710"/>
      <c r="AP457" s="710"/>
    </row>
    <row r="458" spans="2:42">
      <c r="B458" s="710"/>
      <c r="C458" s="710"/>
      <c r="D458" s="710"/>
      <c r="E458" s="710"/>
      <c r="F458" s="710"/>
      <c r="G458" s="710"/>
      <c r="H458" s="710"/>
      <c r="I458" s="710"/>
      <c r="J458" s="710"/>
      <c r="K458" s="710"/>
      <c r="L458" s="710"/>
      <c r="M458" s="710"/>
      <c r="N458" s="710"/>
      <c r="O458" s="710"/>
      <c r="P458" s="710"/>
      <c r="Q458" s="710"/>
      <c r="R458" s="710"/>
      <c r="S458" s="710"/>
      <c r="T458" s="710"/>
      <c r="U458" s="710"/>
      <c r="V458" s="710"/>
      <c r="W458" s="710"/>
      <c r="X458" s="710"/>
      <c r="Y458" s="710"/>
      <c r="Z458" s="710"/>
      <c r="AA458" s="710"/>
      <c r="AB458" s="710"/>
      <c r="AC458" s="710"/>
      <c r="AD458" s="710"/>
      <c r="AE458" s="710"/>
      <c r="AF458" s="710"/>
      <c r="AG458" s="710"/>
      <c r="AH458" s="710"/>
      <c r="AI458" s="710"/>
      <c r="AJ458" s="710"/>
      <c r="AK458" s="710"/>
      <c r="AL458" s="710"/>
      <c r="AM458" s="710"/>
      <c r="AN458" s="710"/>
      <c r="AO458" s="710"/>
      <c r="AP458" s="710"/>
    </row>
    <row r="459" spans="2:42">
      <c r="B459" s="710"/>
      <c r="C459" s="710"/>
      <c r="D459" s="710"/>
      <c r="E459" s="710"/>
      <c r="F459" s="710"/>
      <c r="G459" s="710"/>
      <c r="H459" s="710"/>
      <c r="I459" s="710"/>
      <c r="J459" s="710"/>
      <c r="K459" s="710"/>
      <c r="L459" s="710"/>
      <c r="M459" s="710"/>
      <c r="N459" s="710"/>
      <c r="O459" s="710"/>
      <c r="P459" s="710"/>
      <c r="Q459" s="710"/>
      <c r="R459" s="710"/>
      <c r="S459" s="710"/>
      <c r="T459" s="710"/>
      <c r="U459" s="710"/>
      <c r="V459" s="710"/>
      <c r="W459" s="710"/>
      <c r="X459" s="710"/>
      <c r="Y459" s="710"/>
      <c r="Z459" s="710"/>
      <c r="AA459" s="710"/>
      <c r="AB459" s="710"/>
      <c r="AC459" s="710"/>
      <c r="AD459" s="710"/>
      <c r="AE459" s="710"/>
      <c r="AF459" s="710"/>
      <c r="AG459" s="710"/>
      <c r="AH459" s="710"/>
      <c r="AI459" s="710"/>
      <c r="AJ459" s="710"/>
      <c r="AK459" s="710"/>
      <c r="AL459" s="710"/>
      <c r="AM459" s="710"/>
      <c r="AN459" s="710"/>
      <c r="AO459" s="710"/>
      <c r="AP459" s="710"/>
    </row>
    <row r="460" spans="2:42">
      <c r="B460" s="710"/>
      <c r="C460" s="710"/>
      <c r="D460" s="710"/>
      <c r="E460" s="710"/>
      <c r="F460" s="710"/>
      <c r="G460" s="710"/>
      <c r="H460" s="710"/>
      <c r="I460" s="710"/>
      <c r="J460" s="710"/>
      <c r="K460" s="710"/>
      <c r="L460" s="710"/>
      <c r="M460" s="710"/>
      <c r="N460" s="710"/>
      <c r="O460" s="710"/>
      <c r="P460" s="710"/>
      <c r="Q460" s="710"/>
      <c r="R460" s="710"/>
      <c r="S460" s="710"/>
      <c r="T460" s="710"/>
      <c r="U460" s="710"/>
      <c r="V460" s="710"/>
      <c r="W460" s="710"/>
      <c r="X460" s="710"/>
      <c r="Y460" s="710"/>
      <c r="Z460" s="710"/>
      <c r="AA460" s="710"/>
      <c r="AB460" s="710"/>
      <c r="AC460" s="710"/>
      <c r="AD460" s="710"/>
      <c r="AE460" s="710"/>
      <c r="AF460" s="710"/>
      <c r="AG460" s="710"/>
      <c r="AH460" s="710"/>
      <c r="AI460" s="710"/>
      <c r="AJ460" s="710"/>
      <c r="AK460" s="710"/>
      <c r="AL460" s="710"/>
      <c r="AM460" s="710"/>
      <c r="AN460" s="710"/>
      <c r="AO460" s="710"/>
      <c r="AP460" s="710"/>
    </row>
    <row r="461" spans="2:42">
      <c r="B461" s="710"/>
      <c r="C461" s="710"/>
      <c r="D461" s="710"/>
      <c r="E461" s="710"/>
      <c r="F461" s="710"/>
      <c r="G461" s="710"/>
      <c r="H461" s="710"/>
      <c r="I461" s="710"/>
      <c r="J461" s="710"/>
      <c r="K461" s="710"/>
      <c r="L461" s="710"/>
      <c r="M461" s="710"/>
      <c r="N461" s="710"/>
      <c r="O461" s="710"/>
      <c r="P461" s="710"/>
      <c r="Q461" s="710"/>
      <c r="R461" s="710"/>
      <c r="S461" s="710"/>
      <c r="T461" s="710"/>
      <c r="U461" s="710"/>
      <c r="V461" s="710"/>
      <c r="W461" s="710"/>
      <c r="X461" s="710"/>
      <c r="Y461" s="710"/>
      <c r="Z461" s="710"/>
      <c r="AA461" s="710"/>
      <c r="AB461" s="710"/>
      <c r="AC461" s="710"/>
      <c r="AD461" s="710"/>
      <c r="AE461" s="710"/>
      <c r="AF461" s="710"/>
      <c r="AG461" s="710"/>
      <c r="AH461" s="710"/>
      <c r="AI461" s="710"/>
      <c r="AJ461" s="710"/>
      <c r="AK461" s="710"/>
      <c r="AL461" s="710"/>
      <c r="AM461" s="710"/>
      <c r="AN461" s="710"/>
      <c r="AO461" s="710"/>
      <c r="AP461" s="710"/>
    </row>
    <row r="462" spans="2:42">
      <c r="B462" s="710"/>
      <c r="C462" s="710"/>
      <c r="D462" s="710"/>
      <c r="E462" s="710"/>
      <c r="F462" s="710"/>
      <c r="G462" s="710"/>
      <c r="H462" s="710"/>
      <c r="I462" s="710"/>
      <c r="J462" s="710"/>
      <c r="K462" s="710"/>
      <c r="L462" s="710"/>
      <c r="M462" s="710"/>
      <c r="N462" s="710"/>
      <c r="O462" s="710"/>
      <c r="P462" s="710"/>
      <c r="Q462" s="710"/>
      <c r="R462" s="710"/>
      <c r="S462" s="710"/>
      <c r="T462" s="710"/>
      <c r="U462" s="710"/>
      <c r="V462" s="710"/>
      <c r="W462" s="710"/>
      <c r="X462" s="710"/>
      <c r="Y462" s="710"/>
      <c r="Z462" s="710"/>
      <c r="AA462" s="710"/>
      <c r="AB462" s="710"/>
      <c r="AC462" s="710"/>
      <c r="AD462" s="710"/>
      <c r="AE462" s="710"/>
      <c r="AF462" s="710"/>
      <c r="AG462" s="710"/>
      <c r="AH462" s="710"/>
      <c r="AI462" s="710"/>
      <c r="AJ462" s="710"/>
      <c r="AK462" s="710"/>
      <c r="AL462" s="710"/>
      <c r="AM462" s="710"/>
      <c r="AN462" s="710"/>
      <c r="AO462" s="710"/>
      <c r="AP462" s="710"/>
    </row>
    <row r="463" spans="2:42">
      <c r="B463" s="710"/>
      <c r="C463" s="710"/>
      <c r="D463" s="710"/>
      <c r="E463" s="710"/>
      <c r="F463" s="710"/>
      <c r="G463" s="710"/>
      <c r="H463" s="710"/>
      <c r="I463" s="710"/>
      <c r="J463" s="710"/>
      <c r="K463" s="710"/>
      <c r="L463" s="710"/>
      <c r="M463" s="710"/>
      <c r="N463" s="710"/>
      <c r="O463" s="710"/>
      <c r="P463" s="710"/>
      <c r="Q463" s="710"/>
      <c r="R463" s="710"/>
      <c r="S463" s="710"/>
      <c r="T463" s="710"/>
      <c r="U463" s="710"/>
      <c r="V463" s="710"/>
      <c r="W463" s="710"/>
      <c r="X463" s="710"/>
      <c r="Y463" s="710"/>
      <c r="Z463" s="710"/>
      <c r="AA463" s="710"/>
      <c r="AB463" s="710"/>
      <c r="AC463" s="710"/>
      <c r="AD463" s="710"/>
      <c r="AE463" s="710"/>
      <c r="AF463" s="710"/>
      <c r="AG463" s="710"/>
      <c r="AH463" s="710"/>
      <c r="AI463" s="710"/>
      <c r="AJ463" s="710"/>
      <c r="AK463" s="710"/>
      <c r="AL463" s="710"/>
      <c r="AM463" s="710"/>
      <c r="AN463" s="710"/>
      <c r="AO463" s="710"/>
      <c r="AP463" s="710"/>
    </row>
    <row r="464" spans="2:42">
      <c r="B464" s="710"/>
      <c r="C464" s="710"/>
      <c r="D464" s="710"/>
      <c r="E464" s="710"/>
      <c r="F464" s="710"/>
      <c r="G464" s="710"/>
      <c r="H464" s="710"/>
      <c r="I464" s="710"/>
      <c r="J464" s="710"/>
      <c r="K464" s="710"/>
      <c r="L464" s="710"/>
      <c r="M464" s="710"/>
      <c r="N464" s="710"/>
      <c r="O464" s="710"/>
      <c r="P464" s="710"/>
      <c r="Q464" s="710"/>
      <c r="R464" s="710"/>
      <c r="S464" s="710"/>
      <c r="T464" s="710"/>
      <c r="U464" s="710"/>
      <c r="V464" s="710"/>
      <c r="W464" s="710"/>
      <c r="X464" s="710"/>
      <c r="Y464" s="710"/>
      <c r="Z464" s="710"/>
      <c r="AA464" s="710"/>
      <c r="AB464" s="710"/>
      <c r="AC464" s="710"/>
      <c r="AD464" s="710"/>
      <c r="AE464" s="710"/>
      <c r="AF464" s="710"/>
      <c r="AG464" s="710"/>
      <c r="AH464" s="710"/>
      <c r="AI464" s="710"/>
      <c r="AJ464" s="710"/>
      <c r="AK464" s="710"/>
      <c r="AL464" s="710"/>
      <c r="AM464" s="710"/>
      <c r="AN464" s="710"/>
      <c r="AO464" s="710"/>
      <c r="AP464" s="710"/>
    </row>
    <row r="465" spans="2:42">
      <c r="B465" s="710"/>
      <c r="C465" s="710"/>
      <c r="D465" s="710"/>
      <c r="E465" s="710"/>
      <c r="F465" s="710"/>
      <c r="G465" s="710"/>
      <c r="H465" s="710"/>
      <c r="I465" s="710"/>
      <c r="J465" s="710"/>
      <c r="K465" s="710"/>
      <c r="L465" s="710"/>
      <c r="M465" s="710"/>
      <c r="N465" s="710"/>
      <c r="O465" s="710"/>
      <c r="P465" s="710"/>
      <c r="Q465" s="710"/>
      <c r="R465" s="710"/>
      <c r="S465" s="710"/>
      <c r="T465" s="710"/>
      <c r="U465" s="710"/>
      <c r="V465" s="710"/>
      <c r="W465" s="710"/>
      <c r="X465" s="710"/>
      <c r="Y465" s="710"/>
      <c r="Z465" s="710"/>
      <c r="AA465" s="710"/>
      <c r="AB465" s="710"/>
      <c r="AC465" s="710"/>
      <c r="AD465" s="710"/>
      <c r="AE465" s="710"/>
      <c r="AF465" s="710"/>
      <c r="AG465" s="710"/>
      <c r="AH465" s="710"/>
      <c r="AI465" s="710"/>
      <c r="AJ465" s="710"/>
      <c r="AK465" s="710"/>
      <c r="AL465" s="710"/>
      <c r="AM465" s="710"/>
      <c r="AN465" s="710"/>
      <c r="AO465" s="710"/>
      <c r="AP465" s="710"/>
    </row>
    <row r="466" spans="2:42">
      <c r="B466" s="710"/>
      <c r="C466" s="710"/>
      <c r="D466" s="710"/>
      <c r="E466" s="710"/>
      <c r="F466" s="710"/>
      <c r="G466" s="710"/>
      <c r="H466" s="710"/>
      <c r="I466" s="710"/>
      <c r="J466" s="710"/>
      <c r="K466" s="710"/>
      <c r="L466" s="710"/>
      <c r="M466" s="710"/>
      <c r="N466" s="710"/>
      <c r="O466" s="710"/>
      <c r="P466" s="710"/>
      <c r="Q466" s="710"/>
      <c r="R466" s="710"/>
      <c r="S466" s="710"/>
      <c r="T466" s="710"/>
      <c r="U466" s="710"/>
      <c r="V466" s="710"/>
      <c r="W466" s="710"/>
      <c r="X466" s="710"/>
      <c r="Y466" s="710"/>
      <c r="Z466" s="710"/>
      <c r="AA466" s="710"/>
      <c r="AB466" s="710"/>
      <c r="AC466" s="710"/>
      <c r="AD466" s="710"/>
      <c r="AE466" s="710"/>
      <c r="AF466" s="710"/>
      <c r="AG466" s="710"/>
      <c r="AH466" s="710"/>
      <c r="AI466" s="710"/>
      <c r="AJ466" s="710"/>
      <c r="AK466" s="710"/>
      <c r="AL466" s="710"/>
      <c r="AM466" s="710"/>
      <c r="AN466" s="710"/>
      <c r="AO466" s="710"/>
      <c r="AP466" s="710"/>
    </row>
    <row r="467" spans="2:42">
      <c r="B467" s="710"/>
      <c r="C467" s="710"/>
      <c r="D467" s="710"/>
      <c r="E467" s="710"/>
      <c r="F467" s="710"/>
      <c r="G467" s="710"/>
      <c r="H467" s="710"/>
      <c r="I467" s="710"/>
      <c r="J467" s="710"/>
      <c r="K467" s="710"/>
      <c r="L467" s="710"/>
      <c r="M467" s="710"/>
      <c r="N467" s="710"/>
      <c r="O467" s="710"/>
      <c r="P467" s="710"/>
      <c r="Q467" s="710"/>
      <c r="R467" s="710"/>
      <c r="S467" s="710"/>
      <c r="T467" s="710"/>
      <c r="U467" s="710"/>
      <c r="V467" s="710"/>
      <c r="W467" s="710"/>
      <c r="X467" s="710"/>
      <c r="Y467" s="710"/>
      <c r="Z467" s="710"/>
      <c r="AA467" s="710"/>
      <c r="AB467" s="710"/>
      <c r="AC467" s="710"/>
      <c r="AD467" s="710"/>
      <c r="AE467" s="710"/>
      <c r="AF467" s="710"/>
      <c r="AG467" s="710"/>
      <c r="AH467" s="710"/>
      <c r="AI467" s="710"/>
      <c r="AJ467" s="710"/>
      <c r="AK467" s="710"/>
      <c r="AL467" s="710"/>
      <c r="AM467" s="710"/>
      <c r="AN467" s="710"/>
      <c r="AO467" s="710"/>
      <c r="AP467" s="710"/>
    </row>
    <row r="468" spans="2:42">
      <c r="B468" s="710"/>
      <c r="C468" s="710"/>
      <c r="D468" s="710"/>
      <c r="E468" s="710"/>
      <c r="F468" s="710"/>
      <c r="G468" s="710"/>
      <c r="H468" s="710"/>
      <c r="I468" s="710"/>
      <c r="J468" s="710"/>
      <c r="K468" s="710"/>
      <c r="L468" s="710"/>
      <c r="M468" s="710"/>
      <c r="N468" s="710"/>
      <c r="O468" s="710"/>
      <c r="P468" s="710"/>
      <c r="Q468" s="710"/>
      <c r="R468" s="710"/>
      <c r="S468" s="710"/>
      <c r="T468" s="710"/>
      <c r="U468" s="710"/>
      <c r="V468" s="710"/>
      <c r="W468" s="710"/>
      <c r="X468" s="710"/>
      <c r="Y468" s="710"/>
      <c r="Z468" s="710"/>
      <c r="AA468" s="710"/>
      <c r="AB468" s="710"/>
      <c r="AC468" s="710"/>
      <c r="AD468" s="710"/>
      <c r="AE468" s="710"/>
      <c r="AF468" s="710"/>
      <c r="AG468" s="710"/>
      <c r="AH468" s="710"/>
      <c r="AI468" s="710"/>
      <c r="AJ468" s="710"/>
      <c r="AK468" s="710"/>
      <c r="AL468" s="710"/>
      <c r="AM468" s="710"/>
      <c r="AN468" s="710"/>
      <c r="AO468" s="710"/>
      <c r="AP468" s="710"/>
    </row>
    <row r="469" spans="2:42">
      <c r="B469" s="710"/>
      <c r="C469" s="710"/>
      <c r="D469" s="710"/>
      <c r="E469" s="710"/>
      <c r="F469" s="710"/>
      <c r="G469" s="710"/>
      <c r="H469" s="710"/>
      <c r="I469" s="710"/>
      <c r="J469" s="710"/>
      <c r="K469" s="710"/>
      <c r="L469" s="710"/>
      <c r="M469" s="710"/>
      <c r="N469" s="710"/>
      <c r="O469" s="710"/>
      <c r="P469" s="710"/>
      <c r="Q469" s="710"/>
      <c r="R469" s="710"/>
      <c r="S469" s="710"/>
      <c r="T469" s="710"/>
      <c r="U469" s="710"/>
      <c r="V469" s="710"/>
      <c r="W469" s="710"/>
      <c r="X469" s="710"/>
      <c r="Y469" s="710"/>
      <c r="Z469" s="710"/>
      <c r="AA469" s="710"/>
      <c r="AB469" s="710"/>
      <c r="AC469" s="710"/>
      <c r="AD469" s="710"/>
      <c r="AE469" s="710"/>
      <c r="AF469" s="710"/>
      <c r="AG469" s="710"/>
      <c r="AH469" s="710"/>
      <c r="AI469" s="710"/>
      <c r="AJ469" s="710"/>
      <c r="AK469" s="710"/>
      <c r="AL469" s="710"/>
      <c r="AM469" s="710"/>
      <c r="AN469" s="710"/>
      <c r="AO469" s="710"/>
      <c r="AP469" s="710"/>
    </row>
    <row r="470" spans="2:42">
      <c r="B470" s="710"/>
      <c r="C470" s="710"/>
      <c r="D470" s="710"/>
      <c r="E470" s="710"/>
      <c r="F470" s="710"/>
      <c r="G470" s="710"/>
      <c r="H470" s="710"/>
      <c r="I470" s="710"/>
      <c r="J470" s="710"/>
      <c r="K470" s="710"/>
      <c r="L470" s="710"/>
      <c r="M470" s="710"/>
      <c r="N470" s="710"/>
      <c r="O470" s="710"/>
      <c r="P470" s="710"/>
      <c r="Q470" s="710"/>
      <c r="R470" s="710"/>
      <c r="S470" s="710"/>
      <c r="T470" s="710"/>
      <c r="U470" s="710"/>
      <c r="V470" s="710"/>
      <c r="W470" s="710"/>
      <c r="X470" s="710"/>
      <c r="Y470" s="710"/>
      <c r="Z470" s="710"/>
      <c r="AA470" s="710"/>
      <c r="AB470" s="710"/>
      <c r="AC470" s="710"/>
      <c r="AD470" s="710"/>
      <c r="AE470" s="710"/>
      <c r="AF470" s="710"/>
      <c r="AG470" s="710"/>
      <c r="AH470" s="710"/>
      <c r="AI470" s="710"/>
      <c r="AJ470" s="710"/>
      <c r="AK470" s="710"/>
      <c r="AL470" s="710"/>
      <c r="AM470" s="710"/>
      <c r="AN470" s="710"/>
      <c r="AO470" s="710"/>
      <c r="AP470" s="710"/>
    </row>
    <row r="471" spans="2:42">
      <c r="B471" s="710"/>
      <c r="C471" s="710"/>
      <c r="D471" s="710"/>
      <c r="E471" s="710"/>
      <c r="F471" s="710"/>
      <c r="G471" s="710"/>
      <c r="H471" s="710"/>
      <c r="I471" s="710"/>
      <c r="J471" s="710"/>
      <c r="K471" s="710"/>
      <c r="L471" s="710"/>
      <c r="M471" s="710"/>
      <c r="N471" s="710"/>
      <c r="O471" s="710"/>
      <c r="P471" s="710"/>
      <c r="Q471" s="710"/>
      <c r="R471" s="710"/>
      <c r="S471" s="710"/>
      <c r="T471" s="710"/>
      <c r="U471" s="710"/>
      <c r="V471" s="710"/>
      <c r="W471" s="710"/>
      <c r="X471" s="710"/>
      <c r="Y471" s="710"/>
      <c r="Z471" s="710"/>
      <c r="AA471" s="710"/>
      <c r="AB471" s="710"/>
      <c r="AC471" s="710"/>
      <c r="AD471" s="710"/>
      <c r="AE471" s="710"/>
      <c r="AF471" s="710"/>
      <c r="AG471" s="710"/>
      <c r="AH471" s="710"/>
      <c r="AI471" s="710"/>
      <c r="AJ471" s="710"/>
      <c r="AK471" s="710"/>
      <c r="AL471" s="710"/>
      <c r="AM471" s="710"/>
      <c r="AN471" s="710"/>
      <c r="AO471" s="710"/>
      <c r="AP471" s="710"/>
    </row>
    <row r="472" spans="2:42">
      <c r="B472" s="710"/>
      <c r="C472" s="710"/>
      <c r="D472" s="710"/>
      <c r="E472" s="710"/>
      <c r="F472" s="710"/>
      <c r="G472" s="710"/>
      <c r="H472" s="710"/>
      <c r="I472" s="710"/>
      <c r="J472" s="710"/>
      <c r="K472" s="710"/>
      <c r="L472" s="710"/>
      <c r="M472" s="710"/>
      <c r="N472" s="710"/>
      <c r="O472" s="710"/>
      <c r="P472" s="710"/>
      <c r="Q472" s="710"/>
      <c r="R472" s="710"/>
      <c r="S472" s="710"/>
      <c r="T472" s="710"/>
      <c r="U472" s="710"/>
      <c r="V472" s="710"/>
      <c r="W472" s="710"/>
      <c r="X472" s="710"/>
      <c r="Y472" s="710"/>
      <c r="Z472" s="710"/>
      <c r="AA472" s="710"/>
      <c r="AB472" s="710"/>
      <c r="AC472" s="710"/>
      <c r="AD472" s="710"/>
      <c r="AE472" s="710"/>
      <c r="AF472" s="710"/>
      <c r="AG472" s="710"/>
      <c r="AH472" s="710"/>
      <c r="AI472" s="710"/>
      <c r="AJ472" s="710"/>
      <c r="AK472" s="710"/>
      <c r="AL472" s="710"/>
      <c r="AM472" s="710"/>
      <c r="AN472" s="710"/>
      <c r="AO472" s="710"/>
      <c r="AP472" s="710"/>
    </row>
    <row r="473" spans="2:42">
      <c r="B473" s="710"/>
      <c r="C473" s="710"/>
      <c r="D473" s="710"/>
      <c r="E473" s="710"/>
      <c r="F473" s="710"/>
      <c r="G473" s="710"/>
      <c r="H473" s="710"/>
      <c r="I473" s="710"/>
      <c r="J473" s="710"/>
      <c r="K473" s="710"/>
      <c r="L473" s="710"/>
      <c r="M473" s="710"/>
      <c r="N473" s="710"/>
      <c r="O473" s="710"/>
      <c r="P473" s="710"/>
      <c r="Q473" s="710"/>
      <c r="R473" s="710"/>
      <c r="S473" s="710"/>
      <c r="T473" s="710"/>
      <c r="U473" s="710"/>
      <c r="V473" s="710"/>
      <c r="W473" s="710"/>
      <c r="X473" s="710"/>
      <c r="Y473" s="710"/>
      <c r="Z473" s="710"/>
      <c r="AA473" s="710"/>
      <c r="AB473" s="710"/>
      <c r="AC473" s="710"/>
      <c r="AD473" s="710"/>
      <c r="AE473" s="710"/>
      <c r="AF473" s="710"/>
      <c r="AG473" s="710"/>
      <c r="AH473" s="710"/>
      <c r="AI473" s="710"/>
      <c r="AJ473" s="710"/>
      <c r="AK473" s="710"/>
      <c r="AL473" s="710"/>
      <c r="AM473" s="710"/>
      <c r="AN473" s="710"/>
      <c r="AO473" s="710"/>
      <c r="AP473" s="710"/>
    </row>
    <row r="474" spans="2:42">
      <c r="B474" s="710"/>
      <c r="C474" s="710"/>
      <c r="D474" s="710"/>
      <c r="E474" s="710"/>
      <c r="F474" s="710"/>
      <c r="G474" s="710"/>
      <c r="H474" s="710"/>
      <c r="I474" s="710"/>
      <c r="J474" s="710"/>
      <c r="K474" s="710"/>
      <c r="L474" s="710"/>
      <c r="M474" s="710"/>
      <c r="N474" s="710"/>
      <c r="O474" s="710"/>
      <c r="P474" s="710"/>
      <c r="Q474" s="710"/>
      <c r="R474" s="710"/>
      <c r="S474" s="710"/>
      <c r="T474" s="710"/>
      <c r="U474" s="710"/>
      <c r="V474" s="710"/>
      <c r="W474" s="710"/>
      <c r="X474" s="710"/>
      <c r="Y474" s="710"/>
      <c r="Z474" s="710"/>
      <c r="AA474" s="710"/>
      <c r="AB474" s="710"/>
      <c r="AC474" s="710"/>
      <c r="AD474" s="710"/>
      <c r="AE474" s="710"/>
      <c r="AF474" s="710"/>
      <c r="AG474" s="710"/>
      <c r="AH474" s="710"/>
      <c r="AI474" s="710"/>
      <c r="AJ474" s="710"/>
      <c r="AK474" s="710"/>
      <c r="AL474" s="710"/>
      <c r="AM474" s="710"/>
      <c r="AN474" s="710"/>
      <c r="AO474" s="710"/>
      <c r="AP474" s="710"/>
    </row>
    <row r="475" spans="2:42">
      <c r="B475" s="710"/>
      <c r="C475" s="710"/>
      <c r="D475" s="710"/>
      <c r="E475" s="710"/>
      <c r="F475" s="710"/>
      <c r="G475" s="710"/>
      <c r="H475" s="710"/>
      <c r="I475" s="710"/>
      <c r="J475" s="710"/>
      <c r="K475" s="710"/>
      <c r="L475" s="710"/>
      <c r="M475" s="710"/>
      <c r="N475" s="710"/>
      <c r="O475" s="710"/>
      <c r="P475" s="710"/>
      <c r="Q475" s="710"/>
      <c r="R475" s="710"/>
      <c r="S475" s="710"/>
      <c r="T475" s="710"/>
      <c r="U475" s="710"/>
      <c r="V475" s="710"/>
      <c r="W475" s="710"/>
      <c r="X475" s="710"/>
      <c r="Y475" s="710"/>
      <c r="Z475" s="710"/>
      <c r="AA475" s="710"/>
      <c r="AB475" s="710"/>
      <c r="AC475" s="710"/>
      <c r="AD475" s="710"/>
      <c r="AE475" s="710"/>
      <c r="AF475" s="710"/>
      <c r="AG475" s="710"/>
      <c r="AH475" s="710"/>
      <c r="AI475" s="710"/>
      <c r="AJ475" s="710"/>
      <c r="AK475" s="710"/>
      <c r="AL475" s="710"/>
      <c r="AM475" s="710"/>
      <c r="AN475" s="710"/>
      <c r="AO475" s="710"/>
      <c r="AP475" s="710"/>
    </row>
    <row r="476" spans="2:42">
      <c r="B476" s="710"/>
      <c r="C476" s="710"/>
      <c r="D476" s="710"/>
      <c r="E476" s="710"/>
      <c r="F476" s="710"/>
      <c r="G476" s="710"/>
      <c r="H476" s="710"/>
      <c r="I476" s="710"/>
      <c r="J476" s="710"/>
      <c r="K476" s="710"/>
      <c r="L476" s="710"/>
      <c r="M476" s="710"/>
      <c r="N476" s="710"/>
      <c r="O476" s="710"/>
      <c r="P476" s="710"/>
      <c r="Q476" s="710"/>
      <c r="R476" s="710"/>
      <c r="S476" s="710"/>
      <c r="T476" s="710"/>
      <c r="U476" s="710"/>
      <c r="V476" s="710"/>
      <c r="W476" s="710"/>
      <c r="X476" s="710"/>
      <c r="Y476" s="710"/>
      <c r="Z476" s="710"/>
      <c r="AA476" s="710"/>
      <c r="AB476" s="710"/>
      <c r="AC476" s="710"/>
      <c r="AD476" s="710"/>
      <c r="AE476" s="710"/>
      <c r="AF476" s="710"/>
      <c r="AG476" s="710"/>
      <c r="AH476" s="710"/>
      <c r="AI476" s="710"/>
      <c r="AJ476" s="710"/>
      <c r="AK476" s="710"/>
      <c r="AL476" s="710"/>
      <c r="AM476" s="710"/>
      <c r="AN476" s="710"/>
      <c r="AO476" s="710"/>
      <c r="AP476" s="710"/>
    </row>
    <row r="477" spans="2:42">
      <c r="B477" s="710"/>
      <c r="C477" s="710"/>
      <c r="D477" s="710"/>
      <c r="E477" s="710"/>
      <c r="F477" s="710"/>
      <c r="G477" s="710"/>
      <c r="H477" s="710"/>
      <c r="I477" s="710"/>
      <c r="J477" s="710"/>
      <c r="K477" s="710"/>
      <c r="L477" s="710"/>
      <c r="M477" s="710"/>
      <c r="N477" s="710"/>
      <c r="O477" s="710"/>
      <c r="P477" s="710"/>
      <c r="Q477" s="710"/>
      <c r="R477" s="710"/>
      <c r="S477" s="710"/>
      <c r="T477" s="710"/>
      <c r="U477" s="710"/>
      <c r="V477" s="710"/>
      <c r="W477" s="710"/>
      <c r="X477" s="710"/>
      <c r="Y477" s="710"/>
      <c r="Z477" s="710"/>
      <c r="AA477" s="710"/>
      <c r="AB477" s="710"/>
      <c r="AC477" s="710"/>
      <c r="AD477" s="710"/>
      <c r="AE477" s="710"/>
      <c r="AF477" s="710"/>
      <c r="AG477" s="710"/>
      <c r="AH477" s="710"/>
      <c r="AI477" s="710"/>
      <c r="AJ477" s="710"/>
      <c r="AK477" s="710"/>
      <c r="AL477" s="710"/>
      <c r="AM477" s="710"/>
      <c r="AN477" s="710"/>
      <c r="AO477" s="710"/>
      <c r="AP477" s="710"/>
    </row>
    <row r="478" spans="2:42">
      <c r="B478" s="710"/>
      <c r="C478" s="710"/>
      <c r="D478" s="710"/>
      <c r="E478" s="710"/>
      <c r="F478" s="710"/>
      <c r="G478" s="710"/>
      <c r="H478" s="710"/>
      <c r="I478" s="710"/>
      <c r="J478" s="710"/>
      <c r="K478" s="710"/>
      <c r="L478" s="710"/>
      <c r="M478" s="710"/>
      <c r="N478" s="710"/>
      <c r="O478" s="710"/>
      <c r="P478" s="710"/>
      <c r="Q478" s="710"/>
      <c r="R478" s="710"/>
      <c r="S478" s="710"/>
      <c r="T478" s="710"/>
      <c r="U478" s="710"/>
      <c r="V478" s="710"/>
      <c r="W478" s="710"/>
      <c r="X478" s="710"/>
      <c r="Y478" s="710"/>
      <c r="Z478" s="710"/>
      <c r="AA478" s="710"/>
      <c r="AB478" s="710"/>
      <c r="AC478" s="710"/>
      <c r="AD478" s="710"/>
      <c r="AE478" s="710"/>
      <c r="AF478" s="710"/>
      <c r="AG478" s="710"/>
      <c r="AH478" s="710"/>
      <c r="AI478" s="710"/>
      <c r="AJ478" s="710"/>
      <c r="AK478" s="710"/>
      <c r="AL478" s="710"/>
      <c r="AM478" s="710"/>
      <c r="AN478" s="710"/>
      <c r="AO478" s="710"/>
      <c r="AP478" s="710"/>
    </row>
    <row r="479" spans="2:42">
      <c r="B479" s="710"/>
      <c r="C479" s="710"/>
      <c r="D479" s="710"/>
      <c r="E479" s="710"/>
      <c r="F479" s="710"/>
      <c r="G479" s="710"/>
      <c r="H479" s="710"/>
      <c r="I479" s="710"/>
      <c r="J479" s="710"/>
      <c r="K479" s="710"/>
      <c r="L479" s="710"/>
      <c r="M479" s="710"/>
      <c r="N479" s="710"/>
      <c r="O479" s="710"/>
      <c r="P479" s="710"/>
      <c r="Q479" s="710"/>
      <c r="R479" s="710"/>
      <c r="S479" s="710"/>
      <c r="T479" s="710"/>
      <c r="U479" s="710"/>
      <c r="V479" s="710"/>
      <c r="W479" s="710"/>
      <c r="X479" s="710"/>
      <c r="Y479" s="710"/>
      <c r="Z479" s="710"/>
      <c r="AA479" s="710"/>
      <c r="AB479" s="710"/>
      <c r="AC479" s="710"/>
      <c r="AD479" s="710"/>
      <c r="AE479" s="710"/>
      <c r="AF479" s="710"/>
      <c r="AG479" s="710"/>
      <c r="AH479" s="710"/>
      <c r="AI479" s="710"/>
      <c r="AJ479" s="710"/>
      <c r="AK479" s="710"/>
      <c r="AL479" s="710"/>
      <c r="AM479" s="710"/>
      <c r="AN479" s="710"/>
      <c r="AO479" s="710"/>
      <c r="AP479" s="710"/>
    </row>
    <row r="480" spans="2:42">
      <c r="B480" s="710"/>
      <c r="C480" s="710"/>
      <c r="D480" s="710"/>
      <c r="E480" s="710"/>
      <c r="F480" s="710"/>
      <c r="G480" s="710"/>
      <c r="H480" s="710"/>
      <c r="I480" s="710"/>
      <c r="J480" s="710"/>
      <c r="K480" s="710"/>
      <c r="L480" s="710"/>
      <c r="M480" s="710"/>
      <c r="N480" s="710"/>
      <c r="O480" s="710"/>
      <c r="P480" s="710"/>
      <c r="Q480" s="710"/>
      <c r="R480" s="710"/>
      <c r="S480" s="710"/>
      <c r="T480" s="710"/>
      <c r="U480" s="710"/>
      <c r="V480" s="710"/>
      <c r="W480" s="710"/>
      <c r="X480" s="710"/>
      <c r="Y480" s="710"/>
      <c r="Z480" s="710"/>
      <c r="AA480" s="710"/>
      <c r="AB480" s="710"/>
      <c r="AC480" s="710"/>
      <c r="AD480" s="710"/>
      <c r="AE480" s="710"/>
      <c r="AF480" s="710"/>
      <c r="AG480" s="710"/>
      <c r="AH480" s="710"/>
      <c r="AI480" s="710"/>
      <c r="AJ480" s="710"/>
      <c r="AK480" s="710"/>
      <c r="AL480" s="710"/>
      <c r="AM480" s="710"/>
      <c r="AN480" s="710"/>
      <c r="AO480" s="710"/>
      <c r="AP480" s="710"/>
    </row>
    <row r="481" spans="2:42">
      <c r="B481" s="710"/>
      <c r="C481" s="710"/>
      <c r="D481" s="710"/>
      <c r="E481" s="710"/>
      <c r="F481" s="710"/>
      <c r="G481" s="710"/>
      <c r="H481" s="710"/>
      <c r="I481" s="710"/>
      <c r="J481" s="710"/>
      <c r="K481" s="710"/>
      <c r="L481" s="710"/>
      <c r="M481" s="710"/>
      <c r="N481" s="710"/>
      <c r="O481" s="710"/>
      <c r="P481" s="710"/>
      <c r="Q481" s="710"/>
      <c r="R481" s="710"/>
      <c r="S481" s="710"/>
      <c r="T481" s="710"/>
      <c r="U481" s="710"/>
      <c r="V481" s="710"/>
      <c r="W481" s="710"/>
      <c r="X481" s="710"/>
      <c r="Y481" s="710"/>
      <c r="Z481" s="710"/>
      <c r="AA481" s="710"/>
      <c r="AB481" s="710"/>
      <c r="AC481" s="710"/>
      <c r="AD481" s="710"/>
      <c r="AE481" s="710"/>
      <c r="AF481" s="710"/>
      <c r="AG481" s="710"/>
      <c r="AH481" s="710"/>
      <c r="AI481" s="710"/>
      <c r="AJ481" s="710"/>
      <c r="AK481" s="710"/>
      <c r="AL481" s="710"/>
      <c r="AM481" s="710"/>
      <c r="AN481" s="710"/>
      <c r="AO481" s="710"/>
      <c r="AP481" s="710"/>
    </row>
    <row r="482" spans="2:42">
      <c r="B482" s="710"/>
      <c r="C482" s="710"/>
      <c r="D482" s="710"/>
      <c r="E482" s="710"/>
      <c r="F482" s="710"/>
      <c r="G482" s="710"/>
      <c r="H482" s="710"/>
      <c r="I482" s="710"/>
      <c r="J482" s="710"/>
      <c r="K482" s="710"/>
      <c r="L482" s="710"/>
      <c r="M482" s="710"/>
      <c r="N482" s="710"/>
      <c r="O482" s="710"/>
      <c r="P482" s="710"/>
      <c r="Q482" s="710"/>
      <c r="R482" s="710"/>
      <c r="S482" s="710"/>
      <c r="T482" s="710"/>
      <c r="U482" s="710"/>
      <c r="V482" s="710"/>
      <c r="W482" s="710"/>
      <c r="X482" s="710"/>
      <c r="Y482" s="710"/>
      <c r="Z482" s="710"/>
      <c r="AA482" s="710"/>
      <c r="AB482" s="710"/>
      <c r="AC482" s="710"/>
      <c r="AD482" s="710"/>
      <c r="AE482" s="710"/>
      <c r="AF482" s="710"/>
      <c r="AG482" s="710"/>
      <c r="AH482" s="710"/>
      <c r="AI482" s="710"/>
      <c r="AJ482" s="710"/>
      <c r="AK482" s="710"/>
      <c r="AL482" s="710"/>
      <c r="AM482" s="710"/>
      <c r="AN482" s="710"/>
      <c r="AO482" s="710"/>
      <c r="AP482" s="710"/>
    </row>
    <row r="483" spans="2:42">
      <c r="B483" s="710"/>
      <c r="C483" s="710"/>
      <c r="D483" s="710"/>
      <c r="E483" s="710"/>
      <c r="F483" s="710"/>
      <c r="G483" s="710"/>
      <c r="H483" s="710"/>
      <c r="I483" s="710"/>
      <c r="J483" s="710"/>
      <c r="K483" s="710"/>
      <c r="L483" s="710"/>
      <c r="M483" s="710"/>
      <c r="N483" s="710"/>
      <c r="O483" s="710"/>
      <c r="P483" s="710"/>
      <c r="Q483" s="710"/>
      <c r="R483" s="710"/>
      <c r="S483" s="710"/>
      <c r="T483" s="710"/>
      <c r="U483" s="710"/>
      <c r="V483" s="710"/>
      <c r="W483" s="710"/>
      <c r="X483" s="710"/>
      <c r="Y483" s="710"/>
      <c r="Z483" s="710"/>
      <c r="AA483" s="710"/>
      <c r="AB483" s="710"/>
      <c r="AC483" s="710"/>
      <c r="AD483" s="710"/>
      <c r="AE483" s="710"/>
      <c r="AF483" s="710"/>
      <c r="AG483" s="710"/>
      <c r="AH483" s="710"/>
      <c r="AI483" s="710"/>
      <c r="AJ483" s="710"/>
      <c r="AK483" s="710"/>
      <c r="AL483" s="710"/>
      <c r="AM483" s="710"/>
      <c r="AN483" s="710"/>
      <c r="AO483" s="710"/>
      <c r="AP483" s="710"/>
    </row>
    <row r="484" spans="2:42">
      <c r="B484" s="710"/>
      <c r="C484" s="710"/>
      <c r="D484" s="710"/>
      <c r="E484" s="710"/>
      <c r="F484" s="710"/>
      <c r="G484" s="710"/>
      <c r="H484" s="710"/>
      <c r="I484" s="710"/>
      <c r="J484" s="710"/>
      <c r="K484" s="710"/>
      <c r="L484" s="710"/>
      <c r="M484" s="710"/>
      <c r="N484" s="710"/>
      <c r="O484" s="710"/>
      <c r="P484" s="710"/>
      <c r="Q484" s="710"/>
      <c r="R484" s="710"/>
      <c r="S484" s="710"/>
      <c r="T484" s="710"/>
      <c r="U484" s="710"/>
      <c r="V484" s="710"/>
      <c r="W484" s="710"/>
      <c r="X484" s="710"/>
      <c r="Y484" s="710"/>
      <c r="Z484" s="710"/>
      <c r="AA484" s="710"/>
      <c r="AB484" s="710"/>
      <c r="AC484" s="710"/>
      <c r="AD484" s="710"/>
      <c r="AE484" s="710"/>
      <c r="AF484" s="710"/>
      <c r="AG484" s="710"/>
      <c r="AH484" s="710"/>
      <c r="AI484" s="710"/>
      <c r="AJ484" s="710"/>
      <c r="AK484" s="710"/>
      <c r="AL484" s="710"/>
      <c r="AM484" s="710"/>
      <c r="AN484" s="710"/>
      <c r="AO484" s="710"/>
      <c r="AP484" s="710"/>
    </row>
    <row r="485" spans="2:42">
      <c r="B485" s="710"/>
      <c r="C485" s="710"/>
      <c r="D485" s="710"/>
      <c r="E485" s="710"/>
      <c r="F485" s="710"/>
      <c r="G485" s="710"/>
      <c r="H485" s="710"/>
      <c r="I485" s="710"/>
      <c r="J485" s="710"/>
      <c r="K485" s="710"/>
      <c r="L485" s="710"/>
      <c r="M485" s="710"/>
      <c r="N485" s="710"/>
      <c r="O485" s="710"/>
      <c r="P485" s="710"/>
      <c r="Q485" s="710"/>
      <c r="R485" s="710"/>
      <c r="S485" s="710"/>
      <c r="T485" s="710"/>
      <c r="U485" s="710"/>
      <c r="V485" s="710"/>
      <c r="W485" s="710"/>
      <c r="X485" s="710"/>
      <c r="Y485" s="710"/>
      <c r="Z485" s="710"/>
      <c r="AA485" s="710"/>
      <c r="AB485" s="710"/>
      <c r="AC485" s="710"/>
      <c r="AD485" s="710"/>
      <c r="AE485" s="710"/>
      <c r="AF485" s="710"/>
      <c r="AG485" s="710"/>
      <c r="AH485" s="710"/>
      <c r="AI485" s="710"/>
      <c r="AJ485" s="710"/>
      <c r="AK485" s="710"/>
      <c r="AL485" s="710"/>
      <c r="AM485" s="710"/>
      <c r="AN485" s="710"/>
      <c r="AO485" s="710"/>
      <c r="AP485" s="710"/>
    </row>
    <row r="486" spans="2:42">
      <c r="B486" s="710"/>
      <c r="C486" s="710"/>
      <c r="D486" s="710"/>
      <c r="E486" s="710"/>
      <c r="F486" s="710"/>
      <c r="G486" s="710"/>
      <c r="H486" s="710"/>
      <c r="I486" s="710"/>
      <c r="J486" s="710"/>
      <c r="K486" s="710"/>
      <c r="L486" s="710"/>
      <c r="M486" s="710"/>
      <c r="N486" s="710"/>
      <c r="O486" s="710"/>
      <c r="P486" s="710"/>
      <c r="Q486" s="710"/>
      <c r="R486" s="710"/>
      <c r="S486" s="710"/>
      <c r="T486" s="710"/>
      <c r="U486" s="710"/>
      <c r="V486" s="710"/>
      <c r="W486" s="710"/>
      <c r="X486" s="710"/>
      <c r="Y486" s="710"/>
      <c r="Z486" s="710"/>
      <c r="AA486" s="710"/>
      <c r="AB486" s="710"/>
      <c r="AC486" s="710"/>
      <c r="AD486" s="710"/>
      <c r="AE486" s="710"/>
      <c r="AF486" s="710"/>
      <c r="AG486" s="710"/>
      <c r="AH486" s="710"/>
      <c r="AI486" s="710"/>
      <c r="AJ486" s="710"/>
      <c r="AK486" s="710"/>
      <c r="AL486" s="710"/>
      <c r="AM486" s="710"/>
      <c r="AN486" s="710"/>
      <c r="AO486" s="710"/>
      <c r="AP486" s="710"/>
    </row>
    <row r="487" spans="2:42">
      <c r="B487" s="710"/>
      <c r="C487" s="710"/>
      <c r="D487" s="710"/>
      <c r="E487" s="710"/>
      <c r="F487" s="710"/>
      <c r="G487" s="710"/>
      <c r="H487" s="710"/>
      <c r="I487" s="710"/>
      <c r="J487" s="710"/>
      <c r="K487" s="710"/>
      <c r="L487" s="710"/>
      <c r="M487" s="710"/>
      <c r="N487" s="710"/>
      <c r="O487" s="710"/>
      <c r="P487" s="710"/>
      <c r="Q487" s="710"/>
      <c r="R487" s="710"/>
      <c r="S487" s="710"/>
      <c r="T487" s="710"/>
      <c r="U487" s="710"/>
      <c r="V487" s="710"/>
      <c r="W487" s="710"/>
      <c r="X487" s="710"/>
      <c r="Y487" s="710"/>
      <c r="Z487" s="710"/>
      <c r="AA487" s="710"/>
      <c r="AB487" s="710"/>
      <c r="AC487" s="710"/>
      <c r="AD487" s="710"/>
      <c r="AE487" s="710"/>
      <c r="AF487" s="710"/>
      <c r="AG487" s="710"/>
      <c r="AH487" s="710"/>
      <c r="AI487" s="710"/>
      <c r="AJ487" s="710"/>
      <c r="AK487" s="710"/>
      <c r="AL487" s="710"/>
      <c r="AM487" s="710"/>
      <c r="AN487" s="710"/>
      <c r="AO487" s="710"/>
      <c r="AP487" s="710"/>
    </row>
    <row r="488" spans="2:42">
      <c r="B488" s="710"/>
      <c r="C488" s="710"/>
      <c r="D488" s="710"/>
      <c r="E488" s="710"/>
      <c r="F488" s="710"/>
      <c r="G488" s="710"/>
      <c r="H488" s="710"/>
      <c r="I488" s="710"/>
      <c r="J488" s="710"/>
      <c r="K488" s="710"/>
      <c r="L488" s="710"/>
      <c r="M488" s="710"/>
      <c r="N488" s="710"/>
      <c r="O488" s="710"/>
      <c r="P488" s="710"/>
      <c r="Q488" s="710"/>
      <c r="R488" s="710"/>
      <c r="S488" s="710"/>
      <c r="T488" s="710"/>
      <c r="U488" s="710"/>
      <c r="V488" s="710"/>
      <c r="W488" s="710"/>
      <c r="X488" s="710"/>
      <c r="Y488" s="710"/>
      <c r="Z488" s="710"/>
      <c r="AA488" s="710"/>
      <c r="AB488" s="710"/>
      <c r="AC488" s="710"/>
      <c r="AD488" s="710"/>
      <c r="AE488" s="710"/>
      <c r="AF488" s="710"/>
      <c r="AG488" s="710"/>
      <c r="AH488" s="710"/>
      <c r="AI488" s="710"/>
      <c r="AJ488" s="710"/>
      <c r="AK488" s="710"/>
      <c r="AL488" s="710"/>
      <c r="AM488" s="710"/>
      <c r="AN488" s="710"/>
      <c r="AO488" s="710"/>
      <c r="AP488" s="710"/>
    </row>
    <row r="489" spans="2:42">
      <c r="B489" s="710"/>
      <c r="C489" s="710"/>
      <c r="D489" s="710"/>
      <c r="E489" s="710"/>
      <c r="F489" s="710"/>
      <c r="G489" s="710"/>
      <c r="H489" s="710"/>
      <c r="I489" s="710"/>
      <c r="J489" s="710"/>
      <c r="K489" s="710"/>
      <c r="L489" s="710"/>
      <c r="M489" s="710"/>
      <c r="N489" s="710"/>
      <c r="O489" s="710"/>
      <c r="P489" s="710"/>
      <c r="Q489" s="710"/>
      <c r="R489" s="710"/>
      <c r="S489" s="710"/>
      <c r="T489" s="710"/>
      <c r="U489" s="710"/>
      <c r="V489" s="710"/>
      <c r="W489" s="710"/>
      <c r="X489" s="710"/>
      <c r="Y489" s="710"/>
      <c r="Z489" s="710"/>
      <c r="AA489" s="710"/>
      <c r="AB489" s="710"/>
      <c r="AC489" s="710"/>
      <c r="AD489" s="710"/>
      <c r="AE489" s="710"/>
      <c r="AF489" s="710"/>
      <c r="AG489" s="710"/>
      <c r="AH489" s="710"/>
      <c r="AI489" s="710"/>
      <c r="AJ489" s="710"/>
      <c r="AK489" s="710"/>
      <c r="AL489" s="710"/>
      <c r="AM489" s="710"/>
      <c r="AN489" s="710"/>
      <c r="AO489" s="710"/>
      <c r="AP489" s="710"/>
    </row>
    <row r="490" spans="2:42">
      <c r="B490" s="710"/>
      <c r="C490" s="710"/>
      <c r="D490" s="710"/>
      <c r="E490" s="710"/>
      <c r="F490" s="710"/>
      <c r="G490" s="710"/>
      <c r="H490" s="710"/>
      <c r="I490" s="710"/>
      <c r="J490" s="710"/>
      <c r="K490" s="710"/>
      <c r="L490" s="710"/>
      <c r="M490" s="710"/>
      <c r="N490" s="710"/>
      <c r="O490" s="710"/>
      <c r="P490" s="710"/>
      <c r="Q490" s="710"/>
      <c r="R490" s="710"/>
      <c r="S490" s="710"/>
      <c r="T490" s="710"/>
      <c r="U490" s="710"/>
      <c r="V490" s="710"/>
      <c r="W490" s="710"/>
      <c r="X490" s="710"/>
      <c r="Y490" s="710"/>
      <c r="Z490" s="710"/>
      <c r="AA490" s="710"/>
      <c r="AB490" s="710"/>
      <c r="AC490" s="710"/>
      <c r="AD490" s="710"/>
      <c r="AE490" s="710"/>
      <c r="AF490" s="710"/>
      <c r="AG490" s="710"/>
      <c r="AH490" s="710"/>
      <c r="AI490" s="710"/>
      <c r="AJ490" s="710"/>
      <c r="AK490" s="710"/>
      <c r="AL490" s="710"/>
      <c r="AM490" s="710"/>
      <c r="AN490" s="710"/>
      <c r="AO490" s="710"/>
      <c r="AP490" s="710"/>
    </row>
    <row r="491" spans="2:42">
      <c r="B491" s="710"/>
      <c r="C491" s="710"/>
      <c r="D491" s="710"/>
      <c r="E491" s="710"/>
      <c r="F491" s="710"/>
      <c r="G491" s="710"/>
      <c r="H491" s="710"/>
      <c r="I491" s="710"/>
      <c r="J491" s="710"/>
      <c r="K491" s="710"/>
      <c r="L491" s="710"/>
      <c r="M491" s="710"/>
      <c r="N491" s="710"/>
      <c r="O491" s="710"/>
      <c r="P491" s="710"/>
      <c r="Q491" s="710"/>
      <c r="R491" s="710"/>
      <c r="S491" s="710"/>
      <c r="T491" s="710"/>
      <c r="U491" s="710"/>
      <c r="V491" s="710"/>
      <c r="W491" s="710"/>
      <c r="X491" s="710"/>
      <c r="Y491" s="710"/>
      <c r="Z491" s="710"/>
      <c r="AA491" s="710"/>
      <c r="AB491" s="710"/>
      <c r="AC491" s="710"/>
      <c r="AD491" s="710"/>
      <c r="AE491" s="710"/>
      <c r="AF491" s="710"/>
      <c r="AG491" s="710"/>
      <c r="AH491" s="710"/>
      <c r="AI491" s="710"/>
      <c r="AJ491" s="710"/>
      <c r="AK491" s="710"/>
      <c r="AL491" s="710"/>
      <c r="AM491" s="710"/>
      <c r="AN491" s="710"/>
      <c r="AO491" s="710"/>
      <c r="AP491" s="710"/>
    </row>
    <row r="492" spans="2:42">
      <c r="B492" s="710"/>
      <c r="C492" s="710"/>
      <c r="D492" s="710"/>
      <c r="E492" s="710"/>
      <c r="F492" s="710"/>
      <c r="G492" s="710"/>
      <c r="H492" s="710"/>
      <c r="I492" s="710"/>
      <c r="J492" s="710"/>
      <c r="K492" s="710"/>
      <c r="L492" s="710"/>
      <c r="M492" s="710"/>
      <c r="N492" s="710"/>
      <c r="O492" s="710"/>
      <c r="P492" s="710"/>
      <c r="Q492" s="710"/>
      <c r="R492" s="710"/>
      <c r="S492" s="710"/>
      <c r="T492" s="710"/>
      <c r="U492" s="710"/>
      <c r="V492" s="710"/>
      <c r="W492" s="710"/>
      <c r="X492" s="710"/>
      <c r="Y492" s="710"/>
      <c r="Z492" s="710"/>
      <c r="AA492" s="710"/>
      <c r="AB492" s="710"/>
      <c r="AC492" s="710"/>
      <c r="AD492" s="710"/>
      <c r="AE492" s="710"/>
      <c r="AF492" s="710"/>
      <c r="AG492" s="710"/>
      <c r="AH492" s="710"/>
      <c r="AI492" s="710"/>
      <c r="AJ492" s="710"/>
      <c r="AK492" s="710"/>
      <c r="AL492" s="710"/>
      <c r="AM492" s="710"/>
      <c r="AN492" s="710"/>
      <c r="AO492" s="710"/>
      <c r="AP492" s="710"/>
    </row>
    <row r="493" spans="2:42">
      <c r="B493" s="710"/>
      <c r="C493" s="710"/>
      <c r="D493" s="710"/>
      <c r="E493" s="710"/>
      <c r="F493" s="710"/>
      <c r="G493" s="710"/>
      <c r="H493" s="710"/>
      <c r="I493" s="710"/>
      <c r="J493" s="710"/>
      <c r="K493" s="710"/>
      <c r="L493" s="710"/>
      <c r="M493" s="710"/>
      <c r="N493" s="710"/>
      <c r="O493" s="710"/>
      <c r="P493" s="710"/>
      <c r="Q493" s="710"/>
      <c r="R493" s="710"/>
      <c r="S493" s="710"/>
      <c r="T493" s="710"/>
      <c r="U493" s="710"/>
      <c r="V493" s="710"/>
      <c r="W493" s="710"/>
      <c r="X493" s="710"/>
      <c r="Y493" s="710"/>
      <c r="Z493" s="710"/>
      <c r="AA493" s="710"/>
      <c r="AB493" s="710"/>
      <c r="AC493" s="710"/>
      <c r="AD493" s="710"/>
      <c r="AE493" s="710"/>
      <c r="AF493" s="710"/>
      <c r="AG493" s="710"/>
      <c r="AH493" s="710"/>
      <c r="AI493" s="710"/>
      <c r="AJ493" s="710"/>
      <c r="AK493" s="710"/>
      <c r="AL493" s="710"/>
      <c r="AM493" s="710"/>
      <c r="AN493" s="710"/>
      <c r="AO493" s="710"/>
      <c r="AP493" s="710"/>
    </row>
    <row r="494" spans="2:42">
      <c r="B494" s="710"/>
      <c r="C494" s="710"/>
      <c r="D494" s="710"/>
      <c r="E494" s="710"/>
      <c r="F494" s="710"/>
      <c r="G494" s="710"/>
      <c r="H494" s="710"/>
      <c r="I494" s="710"/>
      <c r="J494" s="710"/>
      <c r="K494" s="710"/>
      <c r="L494" s="710"/>
      <c r="M494" s="710"/>
      <c r="N494" s="710"/>
      <c r="O494" s="710"/>
      <c r="P494" s="710"/>
      <c r="Q494" s="710"/>
      <c r="R494" s="710"/>
      <c r="S494" s="710"/>
      <c r="T494" s="710"/>
      <c r="U494" s="710"/>
      <c r="V494" s="710"/>
      <c r="W494" s="710"/>
      <c r="X494" s="710"/>
      <c r="Y494" s="710"/>
      <c r="Z494" s="710"/>
      <c r="AA494" s="710"/>
      <c r="AB494" s="710"/>
      <c r="AC494" s="710"/>
      <c r="AD494" s="710"/>
      <c r="AE494" s="710"/>
      <c r="AF494" s="710"/>
      <c r="AG494" s="710"/>
      <c r="AH494" s="710"/>
      <c r="AI494" s="710"/>
      <c r="AJ494" s="710"/>
      <c r="AK494" s="710"/>
      <c r="AL494" s="710"/>
      <c r="AM494" s="710"/>
      <c r="AN494" s="710"/>
      <c r="AO494" s="710"/>
      <c r="AP494" s="710"/>
    </row>
    <row r="495" spans="2:42">
      <c r="B495" s="710"/>
      <c r="C495" s="710"/>
      <c r="D495" s="710"/>
      <c r="E495" s="710"/>
      <c r="F495" s="710"/>
      <c r="G495" s="710"/>
      <c r="H495" s="710"/>
      <c r="I495" s="710"/>
      <c r="J495" s="710"/>
      <c r="K495" s="710"/>
      <c r="L495" s="710"/>
      <c r="M495" s="710"/>
      <c r="N495" s="710"/>
      <c r="O495" s="710"/>
      <c r="P495" s="710"/>
      <c r="Q495" s="710"/>
      <c r="R495" s="710"/>
      <c r="S495" s="710"/>
      <c r="T495" s="710"/>
      <c r="U495" s="710"/>
      <c r="V495" s="710"/>
      <c r="W495" s="710"/>
      <c r="X495" s="710"/>
      <c r="Y495" s="710"/>
      <c r="Z495" s="710"/>
      <c r="AA495" s="710"/>
      <c r="AB495" s="710"/>
      <c r="AC495" s="710"/>
      <c r="AD495" s="710"/>
      <c r="AE495" s="710"/>
      <c r="AF495" s="710"/>
      <c r="AG495" s="710"/>
      <c r="AH495" s="710"/>
      <c r="AI495" s="710"/>
      <c r="AJ495" s="710"/>
      <c r="AK495" s="710"/>
      <c r="AL495" s="710"/>
      <c r="AM495" s="710"/>
      <c r="AN495" s="710"/>
      <c r="AO495" s="710"/>
      <c r="AP495" s="710"/>
    </row>
    <row r="496" spans="2:42">
      <c r="B496" s="710"/>
      <c r="C496" s="710"/>
      <c r="D496" s="710"/>
      <c r="E496" s="710"/>
      <c r="F496" s="710"/>
      <c r="G496" s="710"/>
      <c r="H496" s="710"/>
      <c r="I496" s="710"/>
      <c r="J496" s="710"/>
      <c r="K496" s="710"/>
      <c r="L496" s="710"/>
      <c r="M496" s="710"/>
      <c r="N496" s="710"/>
      <c r="O496" s="710"/>
      <c r="P496" s="710"/>
      <c r="Q496" s="710"/>
      <c r="R496" s="710"/>
      <c r="S496" s="710"/>
      <c r="T496" s="710"/>
      <c r="U496" s="710"/>
      <c r="V496" s="710"/>
      <c r="W496" s="710"/>
      <c r="X496" s="710"/>
      <c r="Y496" s="710"/>
      <c r="Z496" s="710"/>
      <c r="AA496" s="710"/>
      <c r="AB496" s="710"/>
      <c r="AC496" s="710"/>
      <c r="AD496" s="710"/>
      <c r="AE496" s="710"/>
      <c r="AF496" s="710"/>
      <c r="AG496" s="710"/>
      <c r="AH496" s="710"/>
      <c r="AI496" s="710"/>
      <c r="AJ496" s="710"/>
      <c r="AK496" s="710"/>
      <c r="AL496" s="710"/>
      <c r="AM496" s="710"/>
      <c r="AN496" s="710"/>
      <c r="AO496" s="710"/>
      <c r="AP496" s="710"/>
    </row>
    <row r="497" spans="2:42">
      <c r="B497" s="710"/>
      <c r="C497" s="710"/>
      <c r="D497" s="710"/>
      <c r="E497" s="710"/>
      <c r="F497" s="710"/>
      <c r="G497" s="710"/>
      <c r="H497" s="710"/>
      <c r="I497" s="710"/>
      <c r="J497" s="710"/>
      <c r="K497" s="710"/>
      <c r="L497" s="710"/>
      <c r="M497" s="710"/>
      <c r="N497" s="710"/>
      <c r="O497" s="710"/>
      <c r="P497" s="710"/>
      <c r="Q497" s="710"/>
      <c r="R497" s="710"/>
      <c r="S497" s="710"/>
      <c r="T497" s="710"/>
      <c r="U497" s="710"/>
      <c r="V497" s="710"/>
      <c r="W497" s="710"/>
      <c r="X497" s="710"/>
      <c r="Y497" s="710"/>
      <c r="Z497" s="710"/>
      <c r="AA497" s="710"/>
      <c r="AB497" s="710"/>
      <c r="AC497" s="710"/>
      <c r="AD497" s="710"/>
      <c r="AE497" s="710"/>
      <c r="AF497" s="710"/>
      <c r="AG497" s="710"/>
      <c r="AH497" s="710"/>
      <c r="AI497" s="710"/>
      <c r="AJ497" s="710"/>
      <c r="AK497" s="710"/>
      <c r="AL497" s="710"/>
      <c r="AM497" s="710"/>
      <c r="AN497" s="710"/>
      <c r="AO497" s="710"/>
      <c r="AP497" s="710"/>
    </row>
    <row r="498" spans="2:42">
      <c r="B498" s="710"/>
      <c r="C498" s="710"/>
      <c r="D498" s="710"/>
      <c r="E498" s="710"/>
      <c r="F498" s="710"/>
      <c r="G498" s="710"/>
      <c r="H498" s="710"/>
      <c r="I498" s="710"/>
      <c r="J498" s="710"/>
      <c r="K498" s="710"/>
      <c r="L498" s="710"/>
      <c r="M498" s="710"/>
      <c r="N498" s="710"/>
      <c r="O498" s="710"/>
      <c r="P498" s="710"/>
      <c r="Q498" s="710"/>
      <c r="R498" s="710"/>
      <c r="S498" s="710"/>
      <c r="T498" s="710"/>
      <c r="U498" s="710"/>
      <c r="V498" s="710"/>
      <c r="W498" s="710"/>
      <c r="X498" s="710"/>
      <c r="Y498" s="710"/>
      <c r="Z498" s="710"/>
      <c r="AA498" s="710"/>
      <c r="AB498" s="710"/>
      <c r="AC498" s="710"/>
      <c r="AD498" s="710"/>
      <c r="AE498" s="710"/>
      <c r="AF498" s="710"/>
      <c r="AG498" s="710"/>
      <c r="AH498" s="710"/>
      <c r="AI498" s="710"/>
      <c r="AJ498" s="710"/>
      <c r="AK498" s="710"/>
      <c r="AL498" s="710"/>
      <c r="AM498" s="710"/>
      <c r="AN498" s="710"/>
      <c r="AO498" s="710"/>
      <c r="AP498" s="710"/>
    </row>
    <row r="499" spans="2:42">
      <c r="B499" s="710"/>
      <c r="C499" s="710"/>
      <c r="D499" s="710"/>
      <c r="E499" s="710"/>
      <c r="F499" s="710"/>
      <c r="G499" s="710"/>
      <c r="H499" s="710"/>
      <c r="I499" s="710"/>
      <c r="J499" s="710"/>
      <c r="K499" s="710"/>
      <c r="L499" s="710"/>
      <c r="M499" s="710"/>
      <c r="N499" s="710"/>
      <c r="O499" s="710"/>
      <c r="P499" s="710"/>
      <c r="Q499" s="710"/>
      <c r="R499" s="710"/>
      <c r="S499" s="710"/>
      <c r="T499" s="710"/>
      <c r="U499" s="710"/>
      <c r="V499" s="710"/>
      <c r="W499" s="710"/>
      <c r="X499" s="710"/>
      <c r="Y499" s="710"/>
      <c r="Z499" s="710"/>
      <c r="AA499" s="710"/>
      <c r="AB499" s="710"/>
      <c r="AC499" s="710"/>
      <c r="AD499" s="710"/>
      <c r="AE499" s="710"/>
      <c r="AF499" s="710"/>
      <c r="AG499" s="710"/>
      <c r="AH499" s="710"/>
      <c r="AI499" s="710"/>
      <c r="AJ499" s="710"/>
      <c r="AK499" s="710"/>
      <c r="AL499" s="710"/>
      <c r="AM499" s="710"/>
      <c r="AN499" s="710"/>
      <c r="AO499" s="710"/>
      <c r="AP499" s="710"/>
    </row>
    <row r="500" spans="2:42">
      <c r="B500" s="710"/>
      <c r="C500" s="710"/>
      <c r="D500" s="710"/>
      <c r="E500" s="710"/>
      <c r="F500" s="710"/>
      <c r="G500" s="710"/>
      <c r="H500" s="710"/>
      <c r="I500" s="710"/>
      <c r="J500" s="710"/>
      <c r="K500" s="710"/>
      <c r="L500" s="710"/>
      <c r="M500" s="710"/>
      <c r="N500" s="710"/>
      <c r="O500" s="710"/>
      <c r="P500" s="710"/>
      <c r="Q500" s="710"/>
      <c r="R500" s="710"/>
      <c r="S500" s="710"/>
      <c r="T500" s="710"/>
      <c r="U500" s="710"/>
      <c r="V500" s="710"/>
      <c r="W500" s="710"/>
      <c r="X500" s="710"/>
      <c r="Y500" s="710"/>
      <c r="Z500" s="710"/>
      <c r="AA500" s="710"/>
      <c r="AB500" s="710"/>
      <c r="AC500" s="710"/>
      <c r="AD500" s="710"/>
      <c r="AE500" s="710"/>
      <c r="AF500" s="710"/>
      <c r="AG500" s="710"/>
      <c r="AH500" s="710"/>
      <c r="AI500" s="710"/>
      <c r="AJ500" s="710"/>
      <c r="AK500" s="710"/>
      <c r="AL500" s="710"/>
      <c r="AM500" s="710"/>
      <c r="AN500" s="710"/>
      <c r="AO500" s="710"/>
      <c r="AP500" s="710"/>
    </row>
    <row r="501" spans="2:42">
      <c r="B501" s="710"/>
      <c r="C501" s="710"/>
      <c r="D501" s="710"/>
      <c r="E501" s="710"/>
      <c r="F501" s="710"/>
      <c r="G501" s="710"/>
      <c r="H501" s="710"/>
      <c r="I501" s="710"/>
      <c r="J501" s="710"/>
      <c r="K501" s="710"/>
      <c r="L501" s="710"/>
      <c r="M501" s="710"/>
      <c r="N501" s="710"/>
      <c r="O501" s="710"/>
      <c r="P501" s="710"/>
      <c r="Q501" s="710"/>
      <c r="R501" s="710"/>
      <c r="S501" s="710"/>
      <c r="T501" s="710"/>
      <c r="U501" s="710"/>
      <c r="V501" s="710"/>
      <c r="W501" s="710"/>
      <c r="X501" s="710"/>
      <c r="Y501" s="710"/>
      <c r="Z501" s="710"/>
      <c r="AA501" s="710"/>
      <c r="AB501" s="710"/>
      <c r="AC501" s="710"/>
      <c r="AD501" s="710"/>
      <c r="AE501" s="710"/>
      <c r="AF501" s="710"/>
      <c r="AG501" s="710"/>
      <c r="AH501" s="710"/>
      <c r="AI501" s="710"/>
      <c r="AJ501" s="710"/>
      <c r="AK501" s="710"/>
      <c r="AL501" s="710"/>
      <c r="AM501" s="710"/>
      <c r="AN501" s="710"/>
      <c r="AO501" s="710"/>
      <c r="AP501" s="710"/>
    </row>
    <row r="502" spans="2:42">
      <c r="B502" s="710"/>
      <c r="C502" s="710"/>
      <c r="D502" s="710"/>
      <c r="E502" s="710"/>
      <c r="F502" s="710"/>
      <c r="G502" s="710"/>
      <c r="H502" s="710"/>
      <c r="I502" s="710"/>
      <c r="J502" s="710"/>
      <c r="K502" s="710"/>
      <c r="L502" s="710"/>
      <c r="M502" s="710"/>
      <c r="N502" s="710"/>
      <c r="O502" s="710"/>
      <c r="P502" s="710"/>
      <c r="Q502" s="710"/>
      <c r="R502" s="710"/>
      <c r="S502" s="710"/>
      <c r="T502" s="710"/>
      <c r="U502" s="710"/>
      <c r="V502" s="710"/>
      <c r="W502" s="710"/>
      <c r="X502" s="710"/>
      <c r="Y502" s="710"/>
      <c r="Z502" s="710"/>
      <c r="AA502" s="710"/>
      <c r="AB502" s="710"/>
      <c r="AC502" s="710"/>
      <c r="AD502" s="710"/>
      <c r="AE502" s="710"/>
      <c r="AF502" s="710"/>
      <c r="AG502" s="710"/>
      <c r="AH502" s="710"/>
      <c r="AI502" s="710"/>
      <c r="AJ502" s="710"/>
      <c r="AK502" s="710"/>
      <c r="AL502" s="710"/>
      <c r="AM502" s="710"/>
      <c r="AN502" s="710"/>
      <c r="AO502" s="710"/>
      <c r="AP502" s="710"/>
    </row>
    <row r="503" spans="2:42">
      <c r="B503" s="710"/>
      <c r="C503" s="710"/>
      <c r="D503" s="710"/>
      <c r="E503" s="710"/>
      <c r="F503" s="710"/>
      <c r="G503" s="710"/>
      <c r="H503" s="710"/>
      <c r="I503" s="710"/>
      <c r="J503" s="710"/>
      <c r="K503" s="710"/>
      <c r="L503" s="710"/>
      <c r="M503" s="710"/>
      <c r="N503" s="710"/>
      <c r="O503" s="710"/>
      <c r="P503" s="710"/>
      <c r="Q503" s="710"/>
      <c r="R503" s="710"/>
      <c r="S503" s="710"/>
      <c r="T503" s="710"/>
      <c r="U503" s="710"/>
      <c r="V503" s="710"/>
      <c r="W503" s="710"/>
      <c r="X503" s="710"/>
      <c r="Y503" s="710"/>
      <c r="Z503" s="710"/>
      <c r="AA503" s="710"/>
      <c r="AB503" s="710"/>
      <c r="AC503" s="710"/>
      <c r="AD503" s="710"/>
      <c r="AE503" s="710"/>
      <c r="AF503" s="710"/>
      <c r="AG503" s="710"/>
      <c r="AH503" s="710"/>
      <c r="AI503" s="710"/>
      <c r="AJ503" s="710"/>
      <c r="AK503" s="710"/>
      <c r="AL503" s="710"/>
      <c r="AM503" s="710"/>
      <c r="AN503" s="710"/>
      <c r="AO503" s="710"/>
      <c r="AP503" s="710"/>
    </row>
    <row r="504" spans="2:42">
      <c r="B504" s="710"/>
      <c r="C504" s="710"/>
      <c r="D504" s="710"/>
      <c r="E504" s="710"/>
      <c r="F504" s="710"/>
      <c r="G504" s="710"/>
      <c r="H504" s="710"/>
      <c r="I504" s="710"/>
      <c r="J504" s="710"/>
      <c r="K504" s="710"/>
      <c r="L504" s="710"/>
      <c r="M504" s="710"/>
      <c r="N504" s="710"/>
      <c r="O504" s="710"/>
      <c r="P504" s="710"/>
      <c r="Q504" s="710"/>
      <c r="R504" s="710"/>
      <c r="S504" s="710"/>
      <c r="T504" s="710"/>
      <c r="U504" s="710"/>
      <c r="V504" s="710"/>
      <c r="W504" s="710"/>
      <c r="X504" s="710"/>
      <c r="Y504" s="710"/>
      <c r="Z504" s="710"/>
      <c r="AA504" s="710"/>
      <c r="AB504" s="710"/>
      <c r="AC504" s="710"/>
      <c r="AD504" s="710"/>
      <c r="AE504" s="710"/>
      <c r="AF504" s="710"/>
      <c r="AG504" s="710"/>
      <c r="AH504" s="710"/>
      <c r="AI504" s="710"/>
      <c r="AJ504" s="710"/>
      <c r="AK504" s="710"/>
      <c r="AL504" s="710"/>
      <c r="AM504" s="710"/>
      <c r="AN504" s="710"/>
      <c r="AO504" s="710"/>
      <c r="AP504" s="710"/>
    </row>
    <row r="505" spans="2:42">
      <c r="B505" s="710"/>
      <c r="C505" s="710"/>
      <c r="D505" s="710"/>
      <c r="E505" s="710"/>
      <c r="F505" s="710"/>
      <c r="G505" s="710"/>
      <c r="H505" s="710"/>
      <c r="I505" s="710"/>
      <c r="J505" s="710"/>
      <c r="K505" s="710"/>
      <c r="L505" s="710"/>
      <c r="M505" s="710"/>
      <c r="N505" s="710"/>
      <c r="O505" s="710"/>
      <c r="P505" s="710"/>
      <c r="Q505" s="710"/>
      <c r="R505" s="710"/>
      <c r="S505" s="710"/>
      <c r="T505" s="710"/>
      <c r="U505" s="710"/>
      <c r="V505" s="710"/>
      <c r="W505" s="710"/>
      <c r="X505" s="710"/>
      <c r="Y505" s="710"/>
      <c r="Z505" s="710"/>
      <c r="AA505" s="710"/>
      <c r="AB505" s="710"/>
      <c r="AC505" s="710"/>
      <c r="AD505" s="710"/>
      <c r="AE505" s="710"/>
      <c r="AF505" s="710"/>
      <c r="AG505" s="710"/>
      <c r="AH505" s="710"/>
      <c r="AI505" s="710"/>
      <c r="AJ505" s="710"/>
      <c r="AK505" s="710"/>
      <c r="AL505" s="710"/>
      <c r="AM505" s="710"/>
      <c r="AN505" s="710"/>
      <c r="AO505" s="710"/>
      <c r="AP505" s="710"/>
    </row>
    <row r="506" spans="2:42">
      <c r="B506" s="710"/>
      <c r="C506" s="710"/>
      <c r="D506" s="710"/>
      <c r="E506" s="710"/>
      <c r="F506" s="710"/>
      <c r="G506" s="710"/>
      <c r="H506" s="710"/>
      <c r="I506" s="710"/>
      <c r="J506" s="710"/>
      <c r="K506" s="710"/>
      <c r="L506" s="710"/>
      <c r="M506" s="710"/>
      <c r="N506" s="710"/>
      <c r="O506" s="710"/>
      <c r="P506" s="710"/>
      <c r="Q506" s="710"/>
      <c r="R506" s="710"/>
      <c r="S506" s="710"/>
      <c r="T506" s="710"/>
      <c r="U506" s="710"/>
      <c r="V506" s="710"/>
      <c r="W506" s="710"/>
      <c r="X506" s="710"/>
      <c r="Y506" s="710"/>
      <c r="Z506" s="710"/>
      <c r="AA506" s="710"/>
      <c r="AB506" s="710"/>
      <c r="AC506" s="710"/>
      <c r="AD506" s="710"/>
      <c r="AE506" s="710"/>
      <c r="AF506" s="710"/>
      <c r="AG506" s="710"/>
      <c r="AH506" s="710"/>
      <c r="AI506" s="710"/>
      <c r="AJ506" s="710"/>
      <c r="AK506" s="710"/>
      <c r="AL506" s="710"/>
      <c r="AM506" s="710"/>
      <c r="AN506" s="710"/>
      <c r="AO506" s="710"/>
      <c r="AP506" s="710"/>
    </row>
    <row r="507" spans="2:42">
      <c r="B507" s="710"/>
      <c r="C507" s="710"/>
      <c r="D507" s="710"/>
      <c r="E507" s="710"/>
      <c r="F507" s="710"/>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10"/>
      <c r="AL507" s="710"/>
      <c r="AM507" s="710"/>
      <c r="AN507" s="710"/>
      <c r="AO507" s="710"/>
      <c r="AP507" s="710"/>
    </row>
    <row r="508" spans="2:42">
      <c r="B508" s="710"/>
      <c r="C508" s="710"/>
      <c r="D508" s="710"/>
      <c r="E508" s="710"/>
      <c r="F508" s="710"/>
      <c r="G508" s="710"/>
      <c r="H508" s="710"/>
      <c r="I508" s="710"/>
      <c r="J508" s="710"/>
      <c r="K508" s="710"/>
      <c r="L508" s="710"/>
      <c r="M508" s="710"/>
      <c r="N508" s="710"/>
      <c r="O508" s="710"/>
      <c r="P508" s="710"/>
      <c r="Q508" s="710"/>
      <c r="R508" s="710"/>
      <c r="S508" s="710"/>
      <c r="T508" s="710"/>
      <c r="U508" s="710"/>
      <c r="V508" s="710"/>
      <c r="W508" s="710"/>
      <c r="X508" s="710"/>
      <c r="Y508" s="710"/>
      <c r="Z508" s="710"/>
      <c r="AA508" s="710"/>
      <c r="AB508" s="710"/>
      <c r="AC508" s="710"/>
      <c r="AD508" s="710"/>
      <c r="AE508" s="710"/>
      <c r="AF508" s="710"/>
      <c r="AG508" s="710"/>
      <c r="AH508" s="710"/>
      <c r="AI508" s="710"/>
      <c r="AJ508" s="710"/>
      <c r="AK508" s="710"/>
      <c r="AL508" s="710"/>
      <c r="AM508" s="710"/>
      <c r="AN508" s="710"/>
      <c r="AO508" s="710"/>
      <c r="AP508" s="710"/>
    </row>
    <row r="509" spans="2:42">
      <c r="B509" s="710"/>
      <c r="C509" s="710"/>
      <c r="D509" s="710"/>
      <c r="E509" s="710"/>
      <c r="F509" s="710"/>
      <c r="G509" s="710"/>
      <c r="H509" s="710"/>
      <c r="I509" s="710"/>
      <c r="J509" s="710"/>
      <c r="K509" s="710"/>
      <c r="L509" s="710"/>
      <c r="M509" s="710"/>
      <c r="N509" s="710"/>
      <c r="O509" s="710"/>
      <c r="P509" s="710"/>
      <c r="Q509" s="710"/>
      <c r="R509" s="710"/>
      <c r="S509" s="710"/>
      <c r="T509" s="710"/>
      <c r="U509" s="710"/>
      <c r="V509" s="710"/>
      <c r="W509" s="710"/>
      <c r="X509" s="710"/>
      <c r="Y509" s="710"/>
      <c r="Z509" s="710"/>
      <c r="AA509" s="710"/>
      <c r="AB509" s="710"/>
      <c r="AC509" s="710"/>
      <c r="AD509" s="710"/>
      <c r="AE509" s="710"/>
      <c r="AF509" s="710"/>
      <c r="AG509" s="710"/>
      <c r="AH509" s="710"/>
      <c r="AI509" s="710"/>
      <c r="AJ509" s="710"/>
      <c r="AK509" s="710"/>
      <c r="AL509" s="710"/>
      <c r="AM509" s="710"/>
      <c r="AN509" s="710"/>
      <c r="AO509" s="710"/>
      <c r="AP509" s="710"/>
    </row>
    <row r="510" spans="2:42">
      <c r="B510" s="710"/>
      <c r="C510" s="710"/>
      <c r="D510" s="710"/>
      <c r="E510" s="710"/>
      <c r="F510" s="710"/>
      <c r="G510" s="710"/>
      <c r="H510" s="710"/>
      <c r="I510" s="710"/>
      <c r="J510" s="710"/>
      <c r="K510" s="710"/>
      <c r="L510" s="710"/>
      <c r="M510" s="710"/>
      <c r="N510" s="710"/>
      <c r="O510" s="710"/>
      <c r="P510" s="710"/>
      <c r="Q510" s="710"/>
      <c r="R510" s="710"/>
      <c r="S510" s="710"/>
      <c r="T510" s="710"/>
      <c r="U510" s="710"/>
      <c r="V510" s="710"/>
      <c r="W510" s="710"/>
      <c r="X510" s="710"/>
      <c r="Y510" s="710"/>
      <c r="Z510" s="710"/>
      <c r="AA510" s="710"/>
      <c r="AB510" s="710"/>
      <c r="AC510" s="710"/>
      <c r="AD510" s="710"/>
      <c r="AE510" s="710"/>
      <c r="AF510" s="710"/>
      <c r="AG510" s="710"/>
      <c r="AH510" s="710"/>
      <c r="AI510" s="710"/>
      <c r="AJ510" s="710"/>
      <c r="AK510" s="710"/>
      <c r="AL510" s="710"/>
      <c r="AM510" s="710"/>
      <c r="AN510" s="710"/>
      <c r="AO510" s="710"/>
      <c r="AP510" s="710"/>
    </row>
    <row r="511" spans="2:42">
      <c r="B511" s="710"/>
      <c r="C511" s="710"/>
      <c r="D511" s="710"/>
      <c r="E511" s="710"/>
      <c r="F511" s="710"/>
      <c r="G511" s="710"/>
      <c r="H511" s="710"/>
      <c r="I511" s="710"/>
      <c r="J511" s="710"/>
      <c r="K511" s="710"/>
      <c r="L511" s="710"/>
      <c r="M511" s="710"/>
      <c r="N511" s="710"/>
      <c r="O511" s="710"/>
      <c r="P511" s="710"/>
      <c r="Q511" s="710"/>
      <c r="R511" s="710"/>
      <c r="S511" s="710"/>
      <c r="T511" s="710"/>
      <c r="U511" s="710"/>
      <c r="V511" s="710"/>
      <c r="W511" s="710"/>
      <c r="X511" s="710"/>
      <c r="Y511" s="710"/>
      <c r="Z511" s="710"/>
      <c r="AA511" s="710"/>
      <c r="AB511" s="710"/>
      <c r="AC511" s="710"/>
      <c r="AD511" s="710"/>
      <c r="AE511" s="710"/>
      <c r="AF511" s="710"/>
      <c r="AG511" s="710"/>
      <c r="AH511" s="710"/>
      <c r="AI511" s="710"/>
      <c r="AJ511" s="710"/>
      <c r="AK511" s="710"/>
      <c r="AL511" s="710"/>
      <c r="AM511" s="710"/>
      <c r="AN511" s="710"/>
      <c r="AO511" s="710"/>
      <c r="AP511" s="710"/>
    </row>
    <row r="512" spans="2:42">
      <c r="B512" s="710"/>
      <c r="C512" s="710"/>
      <c r="D512" s="710"/>
      <c r="E512" s="710"/>
      <c r="F512" s="710"/>
      <c r="G512" s="710"/>
      <c r="H512" s="710"/>
      <c r="I512" s="710"/>
      <c r="J512" s="710"/>
      <c r="K512" s="710"/>
      <c r="L512" s="710"/>
      <c r="M512" s="710"/>
      <c r="N512" s="710"/>
      <c r="O512" s="710"/>
      <c r="P512" s="710"/>
      <c r="Q512" s="710"/>
      <c r="R512" s="710"/>
      <c r="S512" s="710"/>
      <c r="T512" s="710"/>
      <c r="U512" s="710"/>
      <c r="V512" s="710"/>
      <c r="W512" s="710"/>
      <c r="X512" s="710"/>
      <c r="Y512" s="710"/>
      <c r="Z512" s="710"/>
      <c r="AA512" s="710"/>
      <c r="AB512" s="710"/>
      <c r="AC512" s="710"/>
      <c r="AD512" s="710"/>
      <c r="AE512" s="710"/>
      <c r="AF512" s="710"/>
      <c r="AG512" s="710"/>
      <c r="AH512" s="710"/>
      <c r="AI512" s="710"/>
      <c r="AJ512" s="710"/>
      <c r="AK512" s="710"/>
      <c r="AL512" s="710"/>
      <c r="AM512" s="710"/>
      <c r="AN512" s="710"/>
      <c r="AO512" s="710"/>
      <c r="AP512" s="710"/>
    </row>
    <row r="513" spans="2:42">
      <c r="B513" s="710"/>
      <c r="C513" s="710"/>
      <c r="D513" s="710"/>
      <c r="E513" s="710"/>
      <c r="F513" s="710"/>
      <c r="G513" s="710"/>
      <c r="H513" s="710"/>
      <c r="I513" s="710"/>
      <c r="J513" s="710"/>
      <c r="K513" s="710"/>
      <c r="L513" s="710"/>
      <c r="M513" s="710"/>
      <c r="N513" s="710"/>
      <c r="O513" s="710"/>
      <c r="P513" s="710"/>
      <c r="Q513" s="710"/>
      <c r="R513" s="710"/>
      <c r="S513" s="710"/>
      <c r="T513" s="710"/>
      <c r="U513" s="710"/>
      <c r="V513" s="710"/>
      <c r="W513" s="710"/>
      <c r="X513" s="710"/>
      <c r="Y513" s="710"/>
      <c r="Z513" s="710"/>
      <c r="AA513" s="710"/>
      <c r="AB513" s="710"/>
      <c r="AC513" s="710"/>
      <c r="AD513" s="710"/>
      <c r="AE513" s="710"/>
      <c r="AF513" s="710"/>
      <c r="AG513" s="710"/>
      <c r="AH513" s="710"/>
      <c r="AI513" s="710"/>
      <c r="AJ513" s="710"/>
      <c r="AK513" s="710"/>
      <c r="AL513" s="710"/>
      <c r="AM513" s="710"/>
      <c r="AN513" s="710"/>
      <c r="AO513" s="710"/>
      <c r="AP513" s="710"/>
    </row>
    <row r="514" spans="2:42">
      <c r="B514" s="710"/>
      <c r="C514" s="710"/>
      <c r="D514" s="710"/>
      <c r="E514" s="710"/>
      <c r="F514" s="710"/>
      <c r="G514" s="710"/>
      <c r="H514" s="710"/>
      <c r="I514" s="710"/>
      <c r="J514" s="710"/>
      <c r="K514" s="710"/>
      <c r="L514" s="710"/>
      <c r="M514" s="710"/>
      <c r="N514" s="710"/>
      <c r="O514" s="710"/>
      <c r="P514" s="710"/>
      <c r="Q514" s="710"/>
      <c r="R514" s="710"/>
      <c r="S514" s="710"/>
      <c r="T514" s="710"/>
      <c r="U514" s="710"/>
      <c r="V514" s="710"/>
      <c r="W514" s="710"/>
      <c r="X514" s="710"/>
      <c r="Y514" s="710"/>
      <c r="Z514" s="710"/>
      <c r="AA514" s="710"/>
      <c r="AB514" s="710"/>
      <c r="AC514" s="710"/>
      <c r="AD514" s="710"/>
      <c r="AE514" s="710"/>
      <c r="AF514" s="710"/>
      <c r="AG514" s="710"/>
      <c r="AH514" s="710"/>
      <c r="AI514" s="710"/>
      <c r="AJ514" s="710"/>
      <c r="AK514" s="710"/>
      <c r="AL514" s="710"/>
      <c r="AM514" s="710"/>
      <c r="AN514" s="710"/>
      <c r="AO514" s="710"/>
      <c r="AP514" s="710"/>
    </row>
    <row r="515" spans="2:42">
      <c r="B515" s="710"/>
      <c r="C515" s="710"/>
      <c r="D515" s="710"/>
      <c r="E515" s="710"/>
      <c r="F515" s="710"/>
      <c r="G515" s="710"/>
      <c r="H515" s="710"/>
      <c r="I515" s="710"/>
      <c r="J515" s="710"/>
      <c r="K515" s="710"/>
      <c r="L515" s="710"/>
      <c r="M515" s="710"/>
      <c r="N515" s="710"/>
      <c r="O515" s="710"/>
      <c r="P515" s="710"/>
      <c r="Q515" s="710"/>
      <c r="R515" s="710"/>
      <c r="S515" s="710"/>
      <c r="T515" s="710"/>
      <c r="U515" s="710"/>
      <c r="V515" s="710"/>
      <c r="W515" s="710"/>
      <c r="X515" s="710"/>
      <c r="Y515" s="710"/>
      <c r="Z515" s="710"/>
      <c r="AA515" s="710"/>
      <c r="AB515" s="710"/>
      <c r="AC515" s="710"/>
      <c r="AD515" s="710"/>
      <c r="AE515" s="710"/>
      <c r="AF515" s="710"/>
      <c r="AG515" s="710"/>
      <c r="AH515" s="710"/>
      <c r="AI515" s="710"/>
      <c r="AJ515" s="710"/>
      <c r="AK515" s="710"/>
      <c r="AL515" s="710"/>
      <c r="AM515" s="710"/>
      <c r="AN515" s="710"/>
      <c r="AO515" s="710"/>
      <c r="AP515" s="710"/>
    </row>
    <row r="516" spans="2:42">
      <c r="B516" s="710"/>
      <c r="C516" s="710"/>
      <c r="D516" s="710"/>
      <c r="E516" s="710"/>
      <c r="F516" s="710"/>
      <c r="G516" s="710"/>
      <c r="H516" s="710"/>
      <c r="I516" s="710"/>
      <c r="J516" s="710"/>
      <c r="K516" s="710"/>
      <c r="L516" s="710"/>
      <c r="M516" s="710"/>
      <c r="N516" s="710"/>
      <c r="O516" s="710"/>
      <c r="P516" s="710"/>
      <c r="Q516" s="710"/>
      <c r="R516" s="710"/>
      <c r="S516" s="710"/>
      <c r="T516" s="710"/>
      <c r="U516" s="710"/>
      <c r="V516" s="710"/>
      <c r="W516" s="710"/>
      <c r="X516" s="710"/>
      <c r="Y516" s="710"/>
      <c r="Z516" s="710"/>
      <c r="AA516" s="710"/>
      <c r="AB516" s="710"/>
      <c r="AC516" s="710"/>
      <c r="AD516" s="710"/>
      <c r="AE516" s="710"/>
      <c r="AF516" s="710"/>
      <c r="AG516" s="710"/>
      <c r="AH516" s="710"/>
      <c r="AI516" s="710"/>
      <c r="AJ516" s="710"/>
      <c r="AK516" s="710"/>
      <c r="AL516" s="710"/>
      <c r="AM516" s="710"/>
      <c r="AN516" s="710"/>
      <c r="AO516" s="710"/>
      <c r="AP516" s="710"/>
    </row>
    <row r="517" spans="2:42">
      <c r="B517" s="710"/>
      <c r="C517" s="710"/>
      <c r="D517" s="710"/>
      <c r="E517" s="710"/>
      <c r="F517" s="710"/>
      <c r="G517" s="710"/>
      <c r="H517" s="710"/>
      <c r="I517" s="710"/>
      <c r="J517" s="710"/>
      <c r="K517" s="710"/>
      <c r="L517" s="710"/>
      <c r="M517" s="710"/>
      <c r="N517" s="710"/>
      <c r="O517" s="710"/>
      <c r="P517" s="710"/>
      <c r="Q517" s="710"/>
      <c r="R517" s="710"/>
      <c r="S517" s="710"/>
      <c r="T517" s="710"/>
      <c r="U517" s="710"/>
      <c r="V517" s="710"/>
      <c r="W517" s="710"/>
      <c r="X517" s="710"/>
      <c r="Y517" s="710"/>
      <c r="Z517" s="710"/>
      <c r="AA517" s="710"/>
      <c r="AB517" s="710"/>
      <c r="AC517" s="710"/>
      <c r="AD517" s="710"/>
      <c r="AE517" s="710"/>
      <c r="AF517" s="710"/>
      <c r="AG517" s="710"/>
      <c r="AH517" s="710"/>
      <c r="AI517" s="710"/>
      <c r="AJ517" s="710"/>
      <c r="AK517" s="710"/>
      <c r="AL517" s="710"/>
      <c r="AM517" s="710"/>
      <c r="AN517" s="710"/>
      <c r="AO517" s="710"/>
      <c r="AP517" s="710"/>
    </row>
    <row r="518" spans="2:42">
      <c r="B518" s="710"/>
      <c r="C518" s="710"/>
      <c r="D518" s="710"/>
      <c r="E518" s="710"/>
      <c r="F518" s="710"/>
      <c r="G518" s="710"/>
      <c r="H518" s="710"/>
      <c r="I518" s="710"/>
      <c r="J518" s="710"/>
      <c r="K518" s="710"/>
      <c r="L518" s="710"/>
      <c r="M518" s="710"/>
      <c r="N518" s="710"/>
      <c r="O518" s="710"/>
      <c r="P518" s="710"/>
      <c r="Q518" s="710"/>
      <c r="R518" s="710"/>
      <c r="S518" s="710"/>
      <c r="T518" s="710"/>
      <c r="U518" s="710"/>
      <c r="V518" s="710"/>
      <c r="W518" s="710"/>
      <c r="X518" s="710"/>
      <c r="Y518" s="710"/>
      <c r="Z518" s="710"/>
      <c r="AA518" s="710"/>
      <c r="AB518" s="710"/>
      <c r="AC518" s="710"/>
      <c r="AD518" s="710"/>
      <c r="AE518" s="710"/>
      <c r="AF518" s="710"/>
      <c r="AG518" s="710"/>
      <c r="AH518" s="710"/>
      <c r="AI518" s="710"/>
      <c r="AJ518" s="710"/>
      <c r="AK518" s="710"/>
      <c r="AL518" s="710"/>
      <c r="AM518" s="710"/>
      <c r="AN518" s="710"/>
      <c r="AO518" s="710"/>
      <c r="AP518" s="710"/>
    </row>
    <row r="519" spans="2:42">
      <c r="B519" s="710"/>
      <c r="C519" s="710"/>
      <c r="D519" s="710"/>
      <c r="E519" s="710"/>
      <c r="F519" s="710"/>
      <c r="G519" s="710"/>
      <c r="H519" s="710"/>
      <c r="I519" s="710"/>
      <c r="J519" s="710"/>
      <c r="K519" s="710"/>
      <c r="L519" s="710"/>
      <c r="M519" s="710"/>
      <c r="N519" s="710"/>
      <c r="O519" s="710"/>
      <c r="P519" s="710"/>
      <c r="Q519" s="710"/>
      <c r="R519" s="710"/>
      <c r="S519" s="710"/>
      <c r="T519" s="710"/>
      <c r="U519" s="710"/>
      <c r="V519" s="710"/>
      <c r="W519" s="710"/>
      <c r="X519" s="710"/>
      <c r="Y519" s="710"/>
      <c r="Z519" s="710"/>
      <c r="AA519" s="710"/>
      <c r="AB519" s="710"/>
      <c r="AC519" s="710"/>
      <c r="AD519" s="710"/>
      <c r="AE519" s="710"/>
      <c r="AF519" s="710"/>
      <c r="AG519" s="710"/>
      <c r="AH519" s="710"/>
      <c r="AI519" s="710"/>
      <c r="AJ519" s="710"/>
      <c r="AK519" s="710"/>
      <c r="AL519" s="710"/>
      <c r="AM519" s="710"/>
      <c r="AN519" s="710"/>
      <c r="AO519" s="710"/>
      <c r="AP519" s="710"/>
    </row>
    <row r="520" spans="2:42">
      <c r="B520" s="710"/>
      <c r="C520" s="710"/>
      <c r="D520" s="710"/>
      <c r="E520" s="710"/>
      <c r="F520" s="710"/>
      <c r="G520" s="710"/>
      <c r="H520" s="710"/>
      <c r="I520" s="710"/>
      <c r="J520" s="710"/>
      <c r="K520" s="710"/>
      <c r="L520" s="710"/>
      <c r="M520" s="710"/>
      <c r="N520" s="710"/>
      <c r="O520" s="710"/>
      <c r="P520" s="710"/>
      <c r="Q520" s="710"/>
      <c r="R520" s="710"/>
      <c r="S520" s="710"/>
      <c r="T520" s="710"/>
      <c r="U520" s="710"/>
      <c r="V520" s="710"/>
      <c r="W520" s="710"/>
      <c r="X520" s="710"/>
      <c r="Y520" s="710"/>
      <c r="Z520" s="710"/>
      <c r="AA520" s="710"/>
      <c r="AB520" s="710"/>
      <c r="AC520" s="710"/>
      <c r="AD520" s="710"/>
      <c r="AE520" s="710"/>
      <c r="AF520" s="710"/>
      <c r="AG520" s="710"/>
      <c r="AH520" s="710"/>
      <c r="AI520" s="710"/>
      <c r="AJ520" s="710"/>
      <c r="AK520" s="710"/>
      <c r="AL520" s="710"/>
      <c r="AM520" s="710"/>
      <c r="AN520" s="710"/>
      <c r="AO520" s="710"/>
      <c r="AP520" s="710"/>
    </row>
    <row r="521" spans="2:42">
      <c r="B521" s="710"/>
      <c r="C521" s="710"/>
      <c r="D521" s="710"/>
      <c r="E521" s="710"/>
      <c r="F521" s="710"/>
      <c r="G521" s="710"/>
      <c r="H521" s="710"/>
      <c r="I521" s="710"/>
      <c r="J521" s="710"/>
      <c r="K521" s="710"/>
      <c r="L521" s="710"/>
      <c r="M521" s="710"/>
      <c r="N521" s="710"/>
      <c r="O521" s="710"/>
      <c r="P521" s="710"/>
      <c r="Q521" s="710"/>
      <c r="R521" s="710"/>
      <c r="S521" s="710"/>
      <c r="T521" s="710"/>
      <c r="U521" s="710"/>
      <c r="V521" s="710"/>
      <c r="W521" s="710"/>
      <c r="X521" s="710"/>
      <c r="Y521" s="710"/>
      <c r="Z521" s="710"/>
      <c r="AA521" s="710"/>
      <c r="AB521" s="710"/>
      <c r="AC521" s="710"/>
      <c r="AD521" s="710"/>
      <c r="AE521" s="710"/>
      <c r="AF521" s="710"/>
      <c r="AG521" s="710"/>
      <c r="AH521" s="710"/>
      <c r="AI521" s="710"/>
      <c r="AJ521" s="710"/>
      <c r="AK521" s="710"/>
      <c r="AL521" s="710"/>
      <c r="AM521" s="710"/>
      <c r="AN521" s="710"/>
      <c r="AO521" s="710"/>
      <c r="AP521" s="710"/>
    </row>
    <row r="522" spans="2:42">
      <c r="B522" s="710"/>
      <c r="C522" s="710"/>
      <c r="D522" s="710"/>
      <c r="E522" s="710"/>
      <c r="F522" s="710"/>
      <c r="G522" s="710"/>
      <c r="H522" s="710"/>
      <c r="I522" s="710"/>
      <c r="J522" s="710"/>
      <c r="K522" s="710"/>
      <c r="L522" s="710"/>
      <c r="M522" s="710"/>
      <c r="N522" s="710"/>
      <c r="O522" s="710"/>
      <c r="P522" s="710"/>
      <c r="Q522" s="710"/>
      <c r="R522" s="710"/>
      <c r="S522" s="710"/>
      <c r="T522" s="710"/>
      <c r="U522" s="710"/>
      <c r="V522" s="710"/>
      <c r="W522" s="710"/>
      <c r="X522" s="710"/>
      <c r="Y522" s="710"/>
      <c r="Z522" s="710"/>
      <c r="AA522" s="710"/>
      <c r="AB522" s="710"/>
      <c r="AC522" s="710"/>
      <c r="AD522" s="710"/>
      <c r="AE522" s="710"/>
      <c r="AF522" s="710"/>
      <c r="AG522" s="710"/>
      <c r="AH522" s="710"/>
      <c r="AI522" s="710"/>
      <c r="AJ522" s="710"/>
      <c r="AK522" s="710"/>
      <c r="AL522" s="710"/>
      <c r="AM522" s="710"/>
      <c r="AN522" s="710"/>
      <c r="AO522" s="710"/>
      <c r="AP522" s="710"/>
    </row>
    <row r="523" spans="2:42">
      <c r="B523" s="710"/>
      <c r="C523" s="710"/>
      <c r="D523" s="710"/>
      <c r="E523" s="710"/>
      <c r="F523" s="710"/>
      <c r="G523" s="710"/>
      <c r="H523" s="710"/>
      <c r="I523" s="710"/>
      <c r="J523" s="710"/>
      <c r="K523" s="710"/>
      <c r="L523" s="710"/>
      <c r="M523" s="710"/>
      <c r="N523" s="710"/>
      <c r="O523" s="710"/>
      <c r="P523" s="710"/>
      <c r="Q523" s="710"/>
      <c r="R523" s="710"/>
      <c r="S523" s="710"/>
      <c r="T523" s="710"/>
      <c r="U523" s="710"/>
      <c r="V523" s="710"/>
      <c r="W523" s="710"/>
      <c r="X523" s="710"/>
      <c r="Y523" s="710"/>
      <c r="Z523" s="710"/>
      <c r="AA523" s="710"/>
      <c r="AB523" s="710"/>
      <c r="AC523" s="710"/>
      <c r="AD523" s="710"/>
      <c r="AE523" s="710"/>
      <c r="AF523" s="710"/>
      <c r="AG523" s="710"/>
      <c r="AH523" s="710"/>
      <c r="AI523" s="710"/>
      <c r="AJ523" s="710"/>
      <c r="AK523" s="710"/>
      <c r="AL523" s="710"/>
      <c r="AM523" s="710"/>
      <c r="AN523" s="710"/>
      <c r="AO523" s="710"/>
      <c r="AP523" s="710"/>
    </row>
    <row r="524" spans="2:42">
      <c r="B524" s="710"/>
      <c r="C524" s="710"/>
      <c r="D524" s="710"/>
      <c r="E524" s="710"/>
      <c r="F524" s="710"/>
      <c r="G524" s="710"/>
      <c r="H524" s="710"/>
      <c r="I524" s="710"/>
      <c r="J524" s="710"/>
      <c r="K524" s="710"/>
      <c r="L524" s="710"/>
      <c r="M524" s="710"/>
      <c r="N524" s="710"/>
      <c r="O524" s="710"/>
      <c r="P524" s="710"/>
      <c r="Q524" s="710"/>
      <c r="R524" s="710"/>
      <c r="S524" s="710"/>
      <c r="T524" s="710"/>
      <c r="U524" s="710"/>
      <c r="V524" s="710"/>
      <c r="W524" s="710"/>
      <c r="X524" s="710"/>
      <c r="Y524" s="710"/>
      <c r="Z524" s="710"/>
      <c r="AA524" s="710"/>
      <c r="AB524" s="710"/>
      <c r="AC524" s="710"/>
      <c r="AD524" s="710"/>
      <c r="AE524" s="710"/>
      <c r="AF524" s="710"/>
      <c r="AG524" s="710"/>
      <c r="AH524" s="710"/>
      <c r="AI524" s="710"/>
      <c r="AJ524" s="710"/>
      <c r="AK524" s="710"/>
      <c r="AL524" s="710"/>
      <c r="AM524" s="710"/>
      <c r="AN524" s="710"/>
      <c r="AO524" s="710"/>
      <c r="AP524" s="710"/>
    </row>
    <row r="525" spans="2:42">
      <c r="B525" s="710"/>
      <c r="C525" s="710"/>
      <c r="D525" s="710"/>
      <c r="E525" s="710"/>
      <c r="F525" s="710"/>
      <c r="G525" s="710"/>
      <c r="H525" s="710"/>
      <c r="I525" s="710"/>
      <c r="J525" s="710"/>
      <c r="K525" s="710"/>
      <c r="L525" s="710"/>
      <c r="M525" s="710"/>
      <c r="N525" s="710"/>
      <c r="O525" s="710"/>
      <c r="P525" s="710"/>
      <c r="Q525" s="710"/>
      <c r="R525" s="710"/>
      <c r="S525" s="710"/>
      <c r="T525" s="710"/>
      <c r="U525" s="710"/>
      <c r="V525" s="710"/>
      <c r="W525" s="710"/>
      <c r="X525" s="710"/>
      <c r="Y525" s="710"/>
      <c r="Z525" s="710"/>
      <c r="AA525" s="710"/>
      <c r="AB525" s="710"/>
      <c r="AC525" s="710"/>
      <c r="AD525" s="710"/>
      <c r="AE525" s="710"/>
      <c r="AF525" s="710"/>
      <c r="AG525" s="710"/>
      <c r="AH525" s="710"/>
      <c r="AI525" s="710"/>
      <c r="AJ525" s="710"/>
      <c r="AK525" s="710"/>
      <c r="AL525" s="710"/>
      <c r="AM525" s="710"/>
      <c r="AN525" s="710"/>
      <c r="AO525" s="710"/>
      <c r="AP525" s="710"/>
    </row>
    <row r="526" spans="2:42">
      <c r="B526" s="710"/>
      <c r="C526" s="710"/>
      <c r="D526" s="710"/>
      <c r="E526" s="710"/>
      <c r="F526" s="710"/>
      <c r="G526" s="710"/>
      <c r="H526" s="710"/>
      <c r="I526" s="710"/>
      <c r="J526" s="710"/>
      <c r="K526" s="710"/>
      <c r="L526" s="710"/>
      <c r="M526" s="710"/>
      <c r="N526" s="710"/>
      <c r="O526" s="710"/>
      <c r="P526" s="710"/>
      <c r="Q526" s="710"/>
      <c r="R526" s="710"/>
      <c r="S526" s="710"/>
      <c r="T526" s="710"/>
      <c r="U526" s="710"/>
      <c r="V526" s="710"/>
      <c r="W526" s="710"/>
      <c r="X526" s="710"/>
      <c r="Y526" s="710"/>
      <c r="Z526" s="710"/>
      <c r="AA526" s="710"/>
      <c r="AB526" s="710"/>
      <c r="AC526" s="710"/>
      <c r="AD526" s="710"/>
      <c r="AE526" s="710"/>
      <c r="AF526" s="710"/>
      <c r="AG526" s="710"/>
      <c r="AH526" s="710"/>
      <c r="AI526" s="710"/>
      <c r="AJ526" s="710"/>
      <c r="AK526" s="710"/>
      <c r="AL526" s="710"/>
      <c r="AM526" s="710"/>
      <c r="AN526" s="710"/>
      <c r="AO526" s="710"/>
      <c r="AP526" s="710"/>
    </row>
    <row r="527" spans="2:42">
      <c r="B527" s="710"/>
      <c r="C527" s="710"/>
      <c r="D527" s="710"/>
      <c r="E527" s="710"/>
      <c r="F527" s="710"/>
      <c r="G527" s="710"/>
      <c r="H527" s="710"/>
      <c r="I527" s="710"/>
      <c r="J527" s="710"/>
      <c r="K527" s="710"/>
      <c r="L527" s="710"/>
      <c r="M527" s="710"/>
      <c r="N527" s="710"/>
      <c r="O527" s="710"/>
      <c r="P527" s="710"/>
      <c r="Q527" s="710"/>
      <c r="R527" s="710"/>
      <c r="S527" s="710"/>
      <c r="T527" s="710"/>
      <c r="U527" s="710"/>
      <c r="V527" s="710"/>
      <c r="W527" s="710"/>
      <c r="X527" s="710"/>
      <c r="Y527" s="710"/>
      <c r="Z527" s="710"/>
      <c r="AA527" s="710"/>
      <c r="AB527" s="710"/>
      <c r="AC527" s="710"/>
      <c r="AD527" s="710"/>
      <c r="AE527" s="710"/>
      <c r="AF527" s="710"/>
      <c r="AG527" s="710"/>
      <c r="AH527" s="710"/>
      <c r="AI527" s="710"/>
      <c r="AJ527" s="710"/>
      <c r="AK527" s="710"/>
      <c r="AL527" s="710"/>
      <c r="AM527" s="710"/>
      <c r="AN527" s="710"/>
      <c r="AO527" s="710"/>
      <c r="AP527" s="710"/>
    </row>
    <row r="528" spans="2:42">
      <c r="B528" s="710"/>
      <c r="C528" s="710"/>
      <c r="D528" s="710"/>
      <c r="E528" s="710"/>
      <c r="F528" s="710"/>
      <c r="G528" s="710"/>
      <c r="H528" s="710"/>
      <c r="I528" s="710"/>
      <c r="J528" s="710"/>
      <c r="K528" s="710"/>
      <c r="L528" s="710"/>
      <c r="M528" s="710"/>
      <c r="N528" s="710"/>
      <c r="O528" s="710"/>
      <c r="P528" s="710"/>
      <c r="Q528" s="710"/>
      <c r="R528" s="710"/>
      <c r="S528" s="710"/>
      <c r="T528" s="710"/>
      <c r="U528" s="710"/>
      <c r="V528" s="710"/>
      <c r="W528" s="710"/>
      <c r="X528" s="710"/>
      <c r="Y528" s="710"/>
      <c r="Z528" s="710"/>
      <c r="AA528" s="710"/>
      <c r="AB528" s="710"/>
      <c r="AC528" s="710"/>
      <c r="AD528" s="710"/>
      <c r="AE528" s="710"/>
      <c r="AF528" s="710"/>
      <c r="AG528" s="710"/>
      <c r="AH528" s="710"/>
      <c r="AI528" s="710"/>
      <c r="AJ528" s="710"/>
      <c r="AK528" s="710"/>
      <c r="AL528" s="710"/>
      <c r="AM528" s="710"/>
      <c r="AN528" s="710"/>
      <c r="AO528" s="710"/>
      <c r="AP528" s="710"/>
    </row>
    <row r="529" spans="2:42">
      <c r="B529" s="710"/>
      <c r="C529" s="710"/>
      <c r="D529" s="710"/>
      <c r="E529" s="710"/>
      <c r="F529" s="710"/>
      <c r="G529" s="710"/>
      <c r="H529" s="710"/>
      <c r="I529" s="710"/>
      <c r="J529" s="710"/>
      <c r="K529" s="710"/>
      <c r="L529" s="710"/>
      <c r="M529" s="710"/>
      <c r="N529" s="710"/>
      <c r="O529" s="710"/>
      <c r="P529" s="710"/>
      <c r="Q529" s="710"/>
      <c r="R529" s="710"/>
      <c r="S529" s="710"/>
      <c r="T529" s="710"/>
      <c r="U529" s="710"/>
      <c r="V529" s="710"/>
      <c r="W529" s="710"/>
      <c r="X529" s="710"/>
      <c r="Y529" s="710"/>
      <c r="Z529" s="710"/>
      <c r="AA529" s="710"/>
      <c r="AB529" s="710"/>
      <c r="AC529" s="710"/>
      <c r="AD529" s="710"/>
      <c r="AE529" s="710"/>
      <c r="AF529" s="710"/>
      <c r="AG529" s="710"/>
      <c r="AH529" s="710"/>
      <c r="AI529" s="710"/>
      <c r="AJ529" s="710"/>
      <c r="AK529" s="710"/>
      <c r="AL529" s="710"/>
      <c r="AM529" s="710"/>
      <c r="AN529" s="710"/>
      <c r="AO529" s="710"/>
      <c r="AP529" s="710"/>
    </row>
    <row r="530" spans="2:42">
      <c r="B530" s="710"/>
      <c r="C530" s="710"/>
      <c r="D530" s="710"/>
      <c r="E530" s="710"/>
      <c r="F530" s="710"/>
      <c r="G530" s="710"/>
      <c r="H530" s="710"/>
      <c r="I530" s="710"/>
      <c r="J530" s="710"/>
      <c r="K530" s="710"/>
      <c r="L530" s="710"/>
      <c r="M530" s="710"/>
      <c r="N530" s="710"/>
      <c r="O530" s="710"/>
      <c r="P530" s="710"/>
      <c r="Q530" s="710"/>
      <c r="R530" s="710"/>
      <c r="S530" s="710"/>
      <c r="T530" s="710"/>
      <c r="U530" s="710"/>
      <c r="V530" s="710"/>
      <c r="W530" s="710"/>
      <c r="X530" s="710"/>
      <c r="Y530" s="710"/>
      <c r="Z530" s="710"/>
      <c r="AA530" s="710"/>
      <c r="AB530" s="710"/>
      <c r="AC530" s="710"/>
      <c r="AD530" s="710"/>
      <c r="AE530" s="710"/>
      <c r="AF530" s="710"/>
      <c r="AG530" s="710"/>
      <c r="AH530" s="710"/>
      <c r="AI530" s="710"/>
      <c r="AJ530" s="710"/>
      <c r="AK530" s="710"/>
      <c r="AL530" s="710"/>
      <c r="AM530" s="710"/>
      <c r="AN530" s="710"/>
      <c r="AO530" s="710"/>
      <c r="AP530" s="710"/>
    </row>
    <row r="531" spans="2:42">
      <c r="B531" s="710"/>
      <c r="C531" s="710"/>
      <c r="D531" s="710"/>
      <c r="E531" s="710"/>
      <c r="F531" s="710"/>
      <c r="G531" s="710"/>
      <c r="H531" s="710"/>
      <c r="I531" s="710"/>
      <c r="J531" s="710"/>
      <c r="K531" s="710"/>
      <c r="L531" s="710"/>
      <c r="M531" s="710"/>
      <c r="N531" s="710"/>
      <c r="O531" s="710"/>
      <c r="P531" s="710"/>
      <c r="Q531" s="710"/>
      <c r="R531" s="710"/>
      <c r="S531" s="710"/>
      <c r="T531" s="710"/>
      <c r="U531" s="710"/>
      <c r="V531" s="710"/>
      <c r="W531" s="710"/>
      <c r="X531" s="710"/>
      <c r="Y531" s="710"/>
      <c r="Z531" s="710"/>
      <c r="AA531" s="710"/>
      <c r="AB531" s="710"/>
      <c r="AC531" s="710"/>
      <c r="AD531" s="710"/>
      <c r="AE531" s="710"/>
      <c r="AF531" s="710"/>
      <c r="AG531" s="710"/>
      <c r="AH531" s="710"/>
      <c r="AI531" s="710"/>
      <c r="AJ531" s="710"/>
      <c r="AK531" s="710"/>
      <c r="AL531" s="710"/>
      <c r="AM531" s="710"/>
      <c r="AN531" s="710"/>
      <c r="AO531" s="710"/>
      <c r="AP531" s="710"/>
    </row>
    <row r="532" spans="2:42">
      <c r="B532" s="710"/>
      <c r="C532" s="710"/>
      <c r="D532" s="710"/>
      <c r="E532" s="710"/>
      <c r="F532" s="710"/>
      <c r="G532" s="710"/>
      <c r="H532" s="710"/>
      <c r="I532" s="710"/>
      <c r="J532" s="710"/>
      <c r="K532" s="710"/>
      <c r="L532" s="710"/>
      <c r="M532" s="710"/>
      <c r="N532" s="710"/>
      <c r="O532" s="710"/>
      <c r="P532" s="710"/>
      <c r="Q532" s="710"/>
      <c r="R532" s="710"/>
      <c r="S532" s="710"/>
      <c r="T532" s="710"/>
      <c r="U532" s="710"/>
      <c r="V532" s="710"/>
      <c r="W532" s="710"/>
      <c r="X532" s="710"/>
      <c r="Y532" s="710"/>
      <c r="Z532" s="710"/>
      <c r="AA532" s="710"/>
      <c r="AB532" s="710"/>
      <c r="AC532" s="710"/>
      <c r="AD532" s="710"/>
      <c r="AE532" s="710"/>
      <c r="AF532" s="710"/>
      <c r="AG532" s="710"/>
      <c r="AH532" s="710"/>
      <c r="AI532" s="710"/>
      <c r="AJ532" s="710"/>
      <c r="AK532" s="710"/>
      <c r="AL532" s="710"/>
      <c r="AM532" s="710"/>
      <c r="AN532" s="710"/>
      <c r="AO532" s="710"/>
      <c r="AP532" s="710"/>
    </row>
    <row r="533" spans="2:42">
      <c r="B533" s="710"/>
      <c r="C533" s="710"/>
      <c r="D533" s="710"/>
      <c r="E533" s="710"/>
      <c r="F533" s="710"/>
      <c r="G533" s="710"/>
      <c r="H533" s="710"/>
      <c r="I533" s="710"/>
      <c r="J533" s="710"/>
      <c r="K533" s="710"/>
      <c r="L533" s="710"/>
      <c r="M533" s="710"/>
      <c r="N533" s="710"/>
      <c r="O533" s="710"/>
      <c r="P533" s="710"/>
      <c r="Q533" s="710"/>
      <c r="R533" s="710"/>
      <c r="S533" s="710"/>
      <c r="T533" s="710"/>
      <c r="U533" s="710"/>
      <c r="V533" s="710"/>
      <c r="W533" s="710"/>
      <c r="X533" s="710"/>
      <c r="Y533" s="710"/>
      <c r="Z533" s="710"/>
      <c r="AA533" s="710"/>
      <c r="AB533" s="710"/>
      <c r="AC533" s="710"/>
      <c r="AD533" s="710"/>
      <c r="AE533" s="710"/>
      <c r="AF533" s="710"/>
      <c r="AG533" s="710"/>
      <c r="AH533" s="710"/>
      <c r="AI533" s="710"/>
      <c r="AJ533" s="710"/>
      <c r="AK533" s="710"/>
      <c r="AL533" s="710"/>
      <c r="AM533" s="710"/>
      <c r="AN533" s="710"/>
      <c r="AO533" s="710"/>
      <c r="AP533" s="710"/>
    </row>
    <row r="534" spans="2:42">
      <c r="B534" s="710"/>
      <c r="C534" s="710"/>
      <c r="D534" s="710"/>
      <c r="E534" s="710"/>
      <c r="F534" s="710"/>
      <c r="G534" s="710"/>
      <c r="H534" s="710"/>
      <c r="I534" s="710"/>
      <c r="J534" s="710"/>
      <c r="K534" s="710"/>
      <c r="L534" s="710"/>
      <c r="M534" s="710"/>
      <c r="N534" s="710"/>
      <c r="O534" s="710"/>
      <c r="P534" s="710"/>
      <c r="Q534" s="710"/>
      <c r="R534" s="710"/>
      <c r="S534" s="710"/>
      <c r="T534" s="710"/>
      <c r="U534" s="710"/>
      <c r="V534" s="710"/>
      <c r="W534" s="710"/>
      <c r="X534" s="710"/>
      <c r="Y534" s="710"/>
      <c r="Z534" s="710"/>
      <c r="AA534" s="710"/>
      <c r="AB534" s="710"/>
      <c r="AC534" s="710"/>
      <c r="AD534" s="710"/>
      <c r="AE534" s="710"/>
      <c r="AF534" s="710"/>
      <c r="AG534" s="710"/>
      <c r="AH534" s="710"/>
      <c r="AI534" s="710"/>
      <c r="AJ534" s="710"/>
      <c r="AK534" s="710"/>
      <c r="AL534" s="710"/>
      <c r="AM534" s="710"/>
      <c r="AN534" s="710"/>
      <c r="AO534" s="710"/>
      <c r="AP534" s="710"/>
    </row>
    <row r="535" spans="2:42">
      <c r="B535" s="710"/>
      <c r="C535" s="710"/>
      <c r="D535" s="710"/>
      <c r="E535" s="710"/>
      <c r="F535" s="710"/>
      <c r="G535" s="710"/>
      <c r="H535" s="710"/>
      <c r="I535" s="710"/>
      <c r="J535" s="710"/>
      <c r="K535" s="710"/>
      <c r="L535" s="710"/>
      <c r="M535" s="710"/>
      <c r="N535" s="710"/>
      <c r="O535" s="710"/>
      <c r="P535" s="710"/>
      <c r="Q535" s="710"/>
      <c r="R535" s="710"/>
      <c r="S535" s="710"/>
      <c r="T535" s="710"/>
      <c r="U535" s="710"/>
      <c r="V535" s="710"/>
      <c r="W535" s="710"/>
      <c r="X535" s="710"/>
      <c r="Y535" s="710"/>
      <c r="Z535" s="710"/>
      <c r="AA535" s="710"/>
      <c r="AB535" s="710"/>
      <c r="AC535" s="710"/>
      <c r="AD535" s="710"/>
      <c r="AE535" s="710"/>
      <c r="AF535" s="710"/>
      <c r="AG535" s="710"/>
      <c r="AH535" s="710"/>
      <c r="AI535" s="710"/>
      <c r="AJ535" s="710"/>
      <c r="AK535" s="710"/>
      <c r="AL535" s="710"/>
      <c r="AM535" s="710"/>
      <c r="AN535" s="710"/>
      <c r="AO535" s="710"/>
      <c r="AP535" s="710"/>
    </row>
    <row r="536" spans="2:42">
      <c r="B536" s="710"/>
      <c r="C536" s="710"/>
      <c r="D536" s="710"/>
      <c r="E536" s="710"/>
      <c r="F536" s="710"/>
      <c r="G536" s="710"/>
      <c r="H536" s="710"/>
      <c r="I536" s="710"/>
      <c r="J536" s="710"/>
      <c r="K536" s="710"/>
      <c r="L536" s="710"/>
      <c r="M536" s="710"/>
      <c r="N536" s="710"/>
      <c r="O536" s="710"/>
      <c r="P536" s="710"/>
      <c r="Q536" s="710"/>
      <c r="R536" s="710"/>
      <c r="S536" s="710"/>
      <c r="T536" s="710"/>
      <c r="U536" s="710"/>
      <c r="V536" s="710"/>
      <c r="W536" s="710"/>
      <c r="X536" s="710"/>
      <c r="Y536" s="710"/>
      <c r="Z536" s="710"/>
      <c r="AA536" s="710"/>
      <c r="AB536" s="710"/>
      <c r="AC536" s="710"/>
      <c r="AD536" s="710"/>
      <c r="AE536" s="710"/>
      <c r="AF536" s="710"/>
      <c r="AG536" s="710"/>
      <c r="AH536" s="710"/>
      <c r="AI536" s="710"/>
      <c r="AJ536" s="710"/>
      <c r="AK536" s="710"/>
      <c r="AL536" s="710"/>
      <c r="AM536" s="710"/>
      <c r="AN536" s="710"/>
      <c r="AO536" s="710"/>
      <c r="AP536" s="710"/>
    </row>
    <row r="537" spans="2:42">
      <c r="B537" s="710"/>
      <c r="C537" s="710"/>
      <c r="D537" s="710"/>
      <c r="E537" s="710"/>
      <c r="F537" s="710"/>
      <c r="G537" s="710"/>
      <c r="H537" s="710"/>
      <c r="I537" s="710"/>
      <c r="J537" s="710"/>
      <c r="K537" s="710"/>
      <c r="L537" s="710"/>
      <c r="M537" s="710"/>
      <c r="N537" s="710"/>
      <c r="O537" s="710"/>
      <c r="P537" s="710"/>
      <c r="Q537" s="710"/>
      <c r="R537" s="710"/>
      <c r="S537" s="710"/>
      <c r="T537" s="710"/>
      <c r="U537" s="710"/>
      <c r="V537" s="710"/>
      <c r="W537" s="710"/>
      <c r="X537" s="710"/>
      <c r="Y537" s="710"/>
      <c r="Z537" s="710"/>
      <c r="AA537" s="710"/>
      <c r="AB537" s="710"/>
      <c r="AC537" s="710"/>
      <c r="AD537" s="710"/>
      <c r="AE537" s="710"/>
      <c r="AF537" s="710"/>
      <c r="AG537" s="710"/>
      <c r="AH537" s="710"/>
      <c r="AI537" s="710"/>
      <c r="AJ537" s="710"/>
      <c r="AK537" s="710"/>
      <c r="AL537" s="710"/>
      <c r="AM537" s="710"/>
      <c r="AN537" s="710"/>
      <c r="AO537" s="710"/>
      <c r="AP537" s="710"/>
    </row>
    <row r="538" spans="2:42">
      <c r="B538" s="710"/>
      <c r="C538" s="710"/>
      <c r="D538" s="710"/>
      <c r="E538" s="710"/>
      <c r="F538" s="710"/>
      <c r="G538" s="710"/>
      <c r="H538" s="710"/>
      <c r="I538" s="710"/>
      <c r="J538" s="710"/>
      <c r="K538" s="710"/>
      <c r="L538" s="710"/>
      <c r="M538" s="710"/>
      <c r="N538" s="710"/>
      <c r="O538" s="710"/>
      <c r="P538" s="710"/>
      <c r="Q538" s="710"/>
      <c r="R538" s="710"/>
      <c r="S538" s="710"/>
      <c r="T538" s="710"/>
      <c r="U538" s="710"/>
      <c r="V538" s="710"/>
      <c r="W538" s="710"/>
      <c r="X538" s="710"/>
      <c r="Y538" s="710"/>
      <c r="Z538" s="710"/>
      <c r="AA538" s="710"/>
      <c r="AB538" s="710"/>
      <c r="AC538" s="710"/>
      <c r="AD538" s="710"/>
      <c r="AE538" s="710"/>
      <c r="AF538" s="710"/>
      <c r="AG538" s="710"/>
      <c r="AH538" s="710"/>
      <c r="AI538" s="710"/>
      <c r="AJ538" s="710"/>
      <c r="AK538" s="710"/>
      <c r="AL538" s="710"/>
      <c r="AM538" s="710"/>
      <c r="AN538" s="710"/>
      <c r="AO538" s="710"/>
      <c r="AP538" s="710"/>
    </row>
    <row r="539" spans="2:42">
      <c r="B539" s="710"/>
      <c r="C539" s="710"/>
      <c r="D539" s="710"/>
      <c r="E539" s="710"/>
      <c r="F539" s="710"/>
      <c r="G539" s="710"/>
      <c r="H539" s="710"/>
      <c r="I539" s="710"/>
      <c r="J539" s="710"/>
      <c r="K539" s="710"/>
      <c r="L539" s="710"/>
      <c r="M539" s="710"/>
      <c r="N539" s="710"/>
      <c r="O539" s="710"/>
      <c r="P539" s="710"/>
      <c r="Q539" s="710"/>
      <c r="R539" s="710"/>
      <c r="S539" s="710"/>
      <c r="T539" s="710"/>
      <c r="U539" s="710"/>
      <c r="V539" s="710"/>
      <c r="W539" s="710"/>
      <c r="X539" s="710"/>
      <c r="Y539" s="710"/>
      <c r="Z539" s="710"/>
      <c r="AA539" s="710"/>
      <c r="AB539" s="710"/>
      <c r="AC539" s="710"/>
      <c r="AD539" s="710"/>
      <c r="AE539" s="710"/>
      <c r="AF539" s="710"/>
      <c r="AG539" s="710"/>
      <c r="AH539" s="710"/>
      <c r="AI539" s="710"/>
      <c r="AJ539" s="710"/>
      <c r="AK539" s="710"/>
      <c r="AL539" s="710"/>
      <c r="AM539" s="710"/>
      <c r="AN539" s="710"/>
      <c r="AO539" s="710"/>
      <c r="AP539" s="710"/>
    </row>
    <row r="540" spans="2:42">
      <c r="B540" s="710"/>
      <c r="C540" s="710"/>
      <c r="D540" s="710"/>
      <c r="E540" s="710"/>
      <c r="F540" s="710"/>
      <c r="G540" s="710"/>
      <c r="H540" s="710"/>
      <c r="I540" s="710"/>
      <c r="J540" s="710"/>
      <c r="K540" s="710"/>
      <c r="L540" s="710"/>
      <c r="M540" s="710"/>
      <c r="N540" s="710"/>
      <c r="O540" s="710"/>
      <c r="P540" s="710"/>
      <c r="Q540" s="710"/>
      <c r="R540" s="710"/>
      <c r="S540" s="710"/>
      <c r="T540" s="710"/>
      <c r="U540" s="710"/>
      <c r="V540" s="710"/>
      <c r="W540" s="710"/>
      <c r="X540" s="710"/>
      <c r="Y540" s="710"/>
      <c r="Z540" s="710"/>
      <c r="AA540" s="710"/>
      <c r="AB540" s="710"/>
      <c r="AC540" s="710"/>
      <c r="AD540" s="710"/>
      <c r="AE540" s="710"/>
      <c r="AF540" s="710"/>
      <c r="AG540" s="710"/>
      <c r="AH540" s="710"/>
      <c r="AI540" s="710"/>
      <c r="AJ540" s="710"/>
      <c r="AK540" s="710"/>
      <c r="AL540" s="710"/>
      <c r="AM540" s="710"/>
      <c r="AN540" s="710"/>
      <c r="AO540" s="710"/>
      <c r="AP540" s="710"/>
    </row>
    <row r="541" spans="2:42">
      <c r="B541" s="710"/>
      <c r="C541" s="710"/>
      <c r="D541" s="710"/>
      <c r="E541" s="710"/>
      <c r="F541" s="710"/>
      <c r="G541" s="710"/>
      <c r="H541" s="710"/>
      <c r="I541" s="710"/>
      <c r="J541" s="710"/>
      <c r="K541" s="710"/>
      <c r="L541" s="710"/>
      <c r="M541" s="710"/>
      <c r="N541" s="710"/>
      <c r="O541" s="710"/>
      <c r="P541" s="710"/>
      <c r="Q541" s="710"/>
      <c r="R541" s="710"/>
      <c r="S541" s="710"/>
      <c r="T541" s="710"/>
      <c r="U541" s="710"/>
      <c r="V541" s="710"/>
      <c r="W541" s="710"/>
      <c r="X541" s="710"/>
      <c r="Y541" s="710"/>
      <c r="Z541" s="710"/>
      <c r="AA541" s="710"/>
      <c r="AB541" s="710"/>
      <c r="AC541" s="710"/>
      <c r="AD541" s="710"/>
      <c r="AE541" s="710"/>
      <c r="AF541" s="710"/>
      <c r="AG541" s="710"/>
      <c r="AH541" s="710"/>
      <c r="AI541" s="710"/>
      <c r="AJ541" s="710"/>
      <c r="AK541" s="710"/>
      <c r="AL541" s="710"/>
      <c r="AM541" s="710"/>
      <c r="AN541" s="710"/>
      <c r="AO541" s="710"/>
      <c r="AP541" s="710"/>
    </row>
    <row r="542" spans="2:42">
      <c r="B542" s="710"/>
      <c r="C542" s="710"/>
      <c r="D542" s="710"/>
      <c r="E542" s="710"/>
      <c r="F542" s="710"/>
      <c r="G542" s="710"/>
      <c r="H542" s="710"/>
      <c r="I542" s="710"/>
      <c r="J542" s="710"/>
      <c r="K542" s="710"/>
      <c r="L542" s="710"/>
      <c r="M542" s="710"/>
      <c r="N542" s="710"/>
      <c r="O542" s="710"/>
      <c r="P542" s="710"/>
      <c r="Q542" s="710"/>
      <c r="R542" s="710"/>
      <c r="S542" s="710"/>
      <c r="T542" s="710"/>
      <c r="U542" s="710"/>
      <c r="V542" s="710"/>
      <c r="W542" s="710"/>
      <c r="X542" s="710"/>
      <c r="Y542" s="710"/>
      <c r="Z542" s="710"/>
      <c r="AA542" s="710"/>
      <c r="AB542" s="710"/>
      <c r="AC542" s="710"/>
      <c r="AD542" s="710"/>
      <c r="AE542" s="710"/>
      <c r="AF542" s="710"/>
      <c r="AG542" s="710"/>
      <c r="AH542" s="710"/>
      <c r="AI542" s="710"/>
      <c r="AJ542" s="710"/>
      <c r="AK542" s="710"/>
      <c r="AL542" s="710"/>
      <c r="AM542" s="710"/>
      <c r="AN542" s="710"/>
      <c r="AO542" s="710"/>
      <c r="AP542" s="710"/>
    </row>
    <row r="543" spans="2:42">
      <c r="B543" s="710"/>
      <c r="C543" s="710"/>
      <c r="D543" s="710"/>
      <c r="E543" s="710"/>
      <c r="F543" s="710"/>
      <c r="G543" s="710"/>
      <c r="H543" s="710"/>
      <c r="I543" s="710"/>
      <c r="J543" s="710"/>
      <c r="K543" s="710"/>
      <c r="L543" s="710"/>
      <c r="M543" s="710"/>
      <c r="N543" s="710"/>
      <c r="O543" s="710"/>
      <c r="P543" s="710"/>
      <c r="Q543" s="710"/>
      <c r="R543" s="710"/>
      <c r="S543" s="710"/>
      <c r="T543" s="710"/>
      <c r="U543" s="710"/>
      <c r="V543" s="710"/>
      <c r="W543" s="710"/>
      <c r="X543" s="710"/>
      <c r="Y543" s="710"/>
      <c r="Z543" s="710"/>
      <c r="AA543" s="710"/>
      <c r="AB543" s="710"/>
      <c r="AC543" s="710"/>
      <c r="AD543" s="710"/>
      <c r="AE543" s="710"/>
      <c r="AF543" s="710"/>
      <c r="AG543" s="710"/>
      <c r="AH543" s="710"/>
      <c r="AI543" s="710"/>
      <c r="AJ543" s="710"/>
      <c r="AK543" s="710"/>
      <c r="AL543" s="710"/>
      <c r="AM543" s="710"/>
      <c r="AN543" s="710"/>
      <c r="AO543" s="710"/>
      <c r="AP543" s="710"/>
    </row>
    <row r="544" spans="2:42">
      <c r="B544" s="710"/>
      <c r="C544" s="710"/>
      <c r="D544" s="710"/>
      <c r="E544" s="710"/>
      <c r="F544" s="710"/>
      <c r="G544" s="710"/>
      <c r="H544" s="710"/>
      <c r="I544" s="710"/>
      <c r="J544" s="710"/>
      <c r="K544" s="710"/>
      <c r="L544" s="710"/>
      <c r="M544" s="710"/>
      <c r="N544" s="710"/>
      <c r="O544" s="710"/>
      <c r="P544" s="710"/>
      <c r="Q544" s="710"/>
      <c r="R544" s="710"/>
      <c r="S544" s="710"/>
      <c r="T544" s="710"/>
      <c r="U544" s="710"/>
      <c r="V544" s="710"/>
      <c r="W544" s="710"/>
      <c r="X544" s="710"/>
      <c r="Y544" s="710"/>
      <c r="Z544" s="710"/>
      <c r="AA544" s="710"/>
      <c r="AB544" s="710"/>
      <c r="AC544" s="710"/>
      <c r="AD544" s="710"/>
      <c r="AE544" s="710"/>
      <c r="AF544" s="710"/>
      <c r="AG544" s="710"/>
      <c r="AH544" s="710"/>
      <c r="AI544" s="710"/>
      <c r="AJ544" s="710"/>
      <c r="AK544" s="710"/>
      <c r="AL544" s="710"/>
      <c r="AM544" s="710"/>
      <c r="AN544" s="710"/>
      <c r="AO544" s="710"/>
      <c r="AP544" s="710"/>
    </row>
    <row r="545" spans="2:42">
      <c r="B545" s="710"/>
      <c r="C545" s="710"/>
      <c r="D545" s="710"/>
      <c r="E545" s="710"/>
      <c r="F545" s="710"/>
      <c r="G545" s="710"/>
      <c r="H545" s="710"/>
      <c r="I545" s="710"/>
      <c r="J545" s="710"/>
      <c r="K545" s="710"/>
      <c r="L545" s="710"/>
      <c r="M545" s="710"/>
      <c r="N545" s="710"/>
      <c r="O545" s="710"/>
      <c r="P545" s="710"/>
      <c r="Q545" s="710"/>
      <c r="R545" s="710"/>
      <c r="S545" s="710"/>
      <c r="T545" s="710"/>
      <c r="U545" s="710"/>
      <c r="V545" s="710"/>
      <c r="W545" s="710"/>
      <c r="X545" s="710"/>
      <c r="Y545" s="710"/>
      <c r="Z545" s="710"/>
      <c r="AA545" s="710"/>
      <c r="AB545" s="710"/>
      <c r="AC545" s="710"/>
      <c r="AD545" s="710"/>
      <c r="AE545" s="710"/>
      <c r="AF545" s="710"/>
      <c r="AG545" s="710"/>
      <c r="AH545" s="710"/>
      <c r="AI545" s="710"/>
      <c r="AJ545" s="710"/>
      <c r="AK545" s="710"/>
      <c r="AL545" s="710"/>
      <c r="AM545" s="710"/>
      <c r="AN545" s="710"/>
      <c r="AO545" s="710"/>
      <c r="AP545" s="710"/>
    </row>
    <row r="546" spans="2:42">
      <c r="B546" s="710"/>
      <c r="C546" s="710"/>
      <c r="D546" s="710"/>
      <c r="E546" s="710"/>
      <c r="F546" s="710"/>
      <c r="G546" s="710"/>
      <c r="H546" s="710"/>
      <c r="I546" s="710"/>
      <c r="J546" s="710"/>
      <c r="K546" s="710"/>
      <c r="L546" s="710"/>
      <c r="M546" s="710"/>
      <c r="N546" s="710"/>
      <c r="O546" s="710"/>
      <c r="P546" s="710"/>
      <c r="Q546" s="710"/>
      <c r="R546" s="710"/>
      <c r="S546" s="710"/>
      <c r="T546" s="710"/>
      <c r="U546" s="710"/>
      <c r="V546" s="710"/>
      <c r="W546" s="710"/>
      <c r="X546" s="710"/>
      <c r="Y546" s="710"/>
      <c r="Z546" s="710"/>
      <c r="AA546" s="710"/>
      <c r="AB546" s="710"/>
      <c r="AC546" s="710"/>
      <c r="AD546" s="710"/>
      <c r="AE546" s="710"/>
      <c r="AF546" s="710"/>
      <c r="AG546" s="710"/>
      <c r="AH546" s="710"/>
      <c r="AI546" s="710"/>
      <c r="AJ546" s="710"/>
      <c r="AK546" s="710"/>
      <c r="AL546" s="710"/>
      <c r="AM546" s="710"/>
      <c r="AN546" s="710"/>
      <c r="AO546" s="710"/>
      <c r="AP546" s="710"/>
    </row>
    <row r="547" spans="2:42">
      <c r="B547" s="710"/>
      <c r="C547" s="710"/>
      <c r="D547" s="710"/>
      <c r="E547" s="710"/>
      <c r="F547" s="710"/>
      <c r="G547" s="710"/>
      <c r="H547" s="710"/>
      <c r="I547" s="710"/>
      <c r="J547" s="710"/>
      <c r="K547" s="710"/>
      <c r="L547" s="710"/>
      <c r="M547" s="710"/>
      <c r="N547" s="710"/>
      <c r="O547" s="710"/>
      <c r="P547" s="710"/>
      <c r="Q547" s="710"/>
      <c r="R547" s="710"/>
      <c r="S547" s="710"/>
      <c r="T547" s="710"/>
      <c r="U547" s="710"/>
      <c r="V547" s="710"/>
      <c r="W547" s="710"/>
      <c r="X547" s="710"/>
      <c r="Y547" s="710"/>
      <c r="Z547" s="710"/>
      <c r="AA547" s="710"/>
      <c r="AB547" s="710"/>
      <c r="AC547" s="710"/>
      <c r="AD547" s="710"/>
      <c r="AE547" s="710"/>
      <c r="AF547" s="710"/>
      <c r="AG547" s="710"/>
      <c r="AH547" s="710"/>
      <c r="AI547" s="710"/>
      <c r="AJ547" s="710"/>
      <c r="AK547" s="710"/>
      <c r="AL547" s="710"/>
      <c r="AM547" s="710"/>
      <c r="AN547" s="710"/>
      <c r="AO547" s="710"/>
      <c r="AP547" s="710"/>
    </row>
    <row r="548" spans="2:42">
      <c r="B548" s="710"/>
      <c r="C548" s="710"/>
      <c r="D548" s="710"/>
      <c r="E548" s="710"/>
      <c r="F548" s="710"/>
      <c r="G548" s="710"/>
      <c r="H548" s="710"/>
      <c r="I548" s="710"/>
      <c r="J548" s="710"/>
      <c r="K548" s="710"/>
      <c r="L548" s="710"/>
      <c r="M548" s="710"/>
      <c r="N548" s="710"/>
      <c r="O548" s="710"/>
      <c r="P548" s="710"/>
      <c r="Q548" s="710"/>
      <c r="R548" s="710"/>
      <c r="S548" s="710"/>
      <c r="T548" s="710"/>
      <c r="U548" s="710"/>
      <c r="V548" s="710"/>
      <c r="W548" s="710"/>
      <c r="X548" s="710"/>
      <c r="Y548" s="710"/>
      <c r="Z548" s="710"/>
      <c r="AA548" s="710"/>
      <c r="AB548" s="710"/>
      <c r="AC548" s="710"/>
      <c r="AD548" s="710"/>
      <c r="AE548" s="710"/>
      <c r="AF548" s="710"/>
      <c r="AG548" s="710"/>
      <c r="AH548" s="710"/>
      <c r="AI548" s="710"/>
      <c r="AJ548" s="710"/>
      <c r="AK548" s="710"/>
      <c r="AL548" s="710"/>
      <c r="AM548" s="710"/>
      <c r="AN548" s="710"/>
      <c r="AO548" s="710"/>
      <c r="AP548" s="710"/>
    </row>
    <row r="549" spans="2:42">
      <c r="B549" s="710"/>
      <c r="C549" s="710"/>
      <c r="D549" s="710"/>
      <c r="E549" s="710"/>
      <c r="F549" s="710"/>
      <c r="G549" s="710"/>
      <c r="H549" s="710"/>
      <c r="I549" s="710"/>
      <c r="J549" s="710"/>
      <c r="K549" s="710"/>
      <c r="L549" s="710"/>
      <c r="M549" s="710"/>
      <c r="N549" s="710"/>
      <c r="O549" s="710"/>
      <c r="P549" s="710"/>
      <c r="Q549" s="710"/>
      <c r="R549" s="710"/>
      <c r="S549" s="710"/>
      <c r="T549" s="710"/>
      <c r="U549" s="710"/>
      <c r="V549" s="710"/>
      <c r="W549" s="710"/>
      <c r="X549" s="710"/>
      <c r="Y549" s="710"/>
      <c r="Z549" s="710"/>
      <c r="AA549" s="710"/>
      <c r="AB549" s="710"/>
      <c r="AC549" s="710"/>
      <c r="AD549" s="710"/>
      <c r="AE549" s="710"/>
      <c r="AF549" s="710"/>
      <c r="AG549" s="710"/>
      <c r="AH549" s="710"/>
      <c r="AI549" s="710"/>
      <c r="AJ549" s="710"/>
      <c r="AK549" s="710"/>
      <c r="AL549" s="710"/>
      <c r="AM549" s="710"/>
      <c r="AN549" s="710"/>
      <c r="AO549" s="710"/>
      <c r="AP549" s="710"/>
    </row>
    <row r="550" spans="2:42">
      <c r="B550" s="710"/>
      <c r="C550" s="710"/>
      <c r="D550" s="710"/>
      <c r="E550" s="710"/>
      <c r="F550" s="710"/>
      <c r="G550" s="710"/>
      <c r="H550" s="710"/>
      <c r="I550" s="710"/>
      <c r="J550" s="710"/>
      <c r="K550" s="710"/>
      <c r="L550" s="710"/>
      <c r="M550" s="710"/>
      <c r="N550" s="710"/>
      <c r="O550" s="710"/>
      <c r="P550" s="710"/>
      <c r="Q550" s="710"/>
      <c r="R550" s="710"/>
      <c r="S550" s="710"/>
      <c r="T550" s="710"/>
      <c r="U550" s="710"/>
      <c r="V550" s="710"/>
      <c r="W550" s="710"/>
      <c r="X550" s="710"/>
      <c r="Y550" s="710"/>
      <c r="Z550" s="710"/>
      <c r="AA550" s="710"/>
      <c r="AB550" s="710"/>
      <c r="AC550" s="710"/>
      <c r="AD550" s="710"/>
      <c r="AE550" s="710"/>
      <c r="AF550" s="710"/>
      <c r="AG550" s="710"/>
      <c r="AH550" s="710"/>
      <c r="AI550" s="710"/>
      <c r="AJ550" s="710"/>
      <c r="AK550" s="710"/>
      <c r="AL550" s="710"/>
      <c r="AM550" s="710"/>
      <c r="AN550" s="710"/>
      <c r="AO550" s="710"/>
      <c r="AP550" s="710"/>
    </row>
    <row r="551" spans="2:42">
      <c r="B551" s="710"/>
      <c r="C551" s="710"/>
      <c r="D551" s="710"/>
      <c r="E551" s="710"/>
      <c r="F551" s="710"/>
      <c r="G551" s="710"/>
      <c r="H551" s="710"/>
      <c r="I551" s="710"/>
      <c r="J551" s="710"/>
      <c r="K551" s="710"/>
      <c r="L551" s="710"/>
      <c r="M551" s="710"/>
      <c r="N551" s="710"/>
      <c r="O551" s="710"/>
      <c r="P551" s="710"/>
      <c r="Q551" s="710"/>
      <c r="R551" s="710"/>
      <c r="S551" s="710"/>
      <c r="T551" s="710"/>
      <c r="U551" s="710"/>
      <c r="V551" s="710"/>
      <c r="W551" s="710"/>
      <c r="X551" s="710"/>
      <c r="Y551" s="710"/>
      <c r="Z551" s="710"/>
      <c r="AA551" s="710"/>
      <c r="AB551" s="710"/>
      <c r="AC551" s="710"/>
      <c r="AD551" s="710"/>
      <c r="AE551" s="710"/>
      <c r="AF551" s="710"/>
      <c r="AG551" s="710"/>
      <c r="AH551" s="710"/>
      <c r="AI551" s="710"/>
      <c r="AJ551" s="710"/>
      <c r="AK551" s="710"/>
      <c r="AL551" s="710"/>
      <c r="AM551" s="710"/>
      <c r="AN551" s="710"/>
      <c r="AO551" s="710"/>
      <c r="AP551" s="710"/>
    </row>
    <row r="552" spans="2:42">
      <c r="B552" s="710"/>
      <c r="C552" s="710"/>
      <c r="D552" s="710"/>
      <c r="E552" s="710"/>
      <c r="F552" s="710"/>
      <c r="G552" s="710"/>
      <c r="H552" s="710"/>
      <c r="I552" s="710"/>
      <c r="J552" s="710"/>
      <c r="K552" s="710"/>
      <c r="L552" s="710"/>
      <c r="M552" s="710"/>
      <c r="N552" s="710"/>
      <c r="O552" s="710"/>
      <c r="P552" s="710"/>
      <c r="Q552" s="710"/>
      <c r="R552" s="710"/>
      <c r="S552" s="710"/>
      <c r="T552" s="710"/>
      <c r="U552" s="710"/>
      <c r="V552" s="710"/>
      <c r="W552" s="710"/>
      <c r="X552" s="710"/>
      <c r="Y552" s="710"/>
      <c r="Z552" s="710"/>
      <c r="AA552" s="710"/>
      <c r="AB552" s="710"/>
      <c r="AC552" s="710"/>
      <c r="AD552" s="710"/>
      <c r="AE552" s="710"/>
      <c r="AF552" s="710"/>
      <c r="AG552" s="710"/>
      <c r="AH552" s="710"/>
      <c r="AI552" s="710"/>
      <c r="AJ552" s="710"/>
      <c r="AK552" s="710"/>
      <c r="AL552" s="710"/>
      <c r="AM552" s="710"/>
      <c r="AN552" s="710"/>
      <c r="AO552" s="710"/>
      <c r="AP552" s="710"/>
    </row>
    <row r="553" spans="2:42">
      <c r="B553" s="710"/>
      <c r="C553" s="710"/>
      <c r="D553" s="710"/>
      <c r="E553" s="710"/>
      <c r="F553" s="710"/>
      <c r="G553" s="710"/>
      <c r="H553" s="710"/>
      <c r="I553" s="710"/>
      <c r="J553" s="710"/>
      <c r="K553" s="710"/>
      <c r="L553" s="710"/>
      <c r="M553" s="710"/>
      <c r="N553" s="710"/>
      <c r="O553" s="710"/>
      <c r="P553" s="710"/>
      <c r="Q553" s="710"/>
      <c r="R553" s="710"/>
      <c r="S553" s="710"/>
      <c r="T553" s="710"/>
      <c r="U553" s="710"/>
      <c r="V553" s="710"/>
      <c r="W553" s="710"/>
      <c r="X553" s="710"/>
      <c r="Y553" s="710"/>
      <c r="Z553" s="710"/>
      <c r="AA553" s="710"/>
      <c r="AB553" s="710"/>
      <c r="AC553" s="710"/>
      <c r="AD553" s="710"/>
      <c r="AE553" s="710"/>
      <c r="AF553" s="710"/>
      <c r="AG553" s="710"/>
      <c r="AH553" s="710"/>
      <c r="AI553" s="710"/>
      <c r="AJ553" s="710"/>
      <c r="AK553" s="710"/>
      <c r="AL553" s="710"/>
      <c r="AM553" s="710"/>
      <c r="AN553" s="710"/>
      <c r="AO553" s="710"/>
      <c r="AP553" s="710"/>
    </row>
    <row r="554" spans="2:42">
      <c r="B554" s="710"/>
      <c r="C554" s="710"/>
      <c r="D554" s="710"/>
      <c r="E554" s="710"/>
      <c r="F554" s="710"/>
      <c r="G554" s="710"/>
      <c r="H554" s="710"/>
      <c r="I554" s="710"/>
      <c r="J554" s="710"/>
      <c r="K554" s="710"/>
      <c r="L554" s="710"/>
      <c r="M554" s="710"/>
      <c r="N554" s="710"/>
      <c r="O554" s="710"/>
      <c r="P554" s="710"/>
      <c r="Q554" s="710"/>
      <c r="R554" s="710"/>
      <c r="S554" s="710"/>
      <c r="T554" s="710"/>
      <c r="U554" s="710"/>
      <c r="V554" s="710"/>
      <c r="W554" s="710"/>
      <c r="X554" s="710"/>
      <c r="Y554" s="710"/>
      <c r="Z554" s="710"/>
      <c r="AA554" s="710"/>
      <c r="AB554" s="710"/>
      <c r="AC554" s="710"/>
      <c r="AD554" s="710"/>
      <c r="AE554" s="710"/>
      <c r="AF554" s="710"/>
      <c r="AG554" s="710"/>
      <c r="AH554" s="710"/>
      <c r="AI554" s="710"/>
      <c r="AJ554" s="710"/>
      <c r="AK554" s="710"/>
      <c r="AL554" s="710"/>
      <c r="AM554" s="710"/>
      <c r="AN554" s="710"/>
      <c r="AO554" s="710"/>
      <c r="AP554" s="710"/>
    </row>
    <row r="555" spans="2:42">
      <c r="B555" s="710"/>
      <c r="C555" s="710"/>
      <c r="D555" s="710"/>
      <c r="E555" s="710"/>
      <c r="F555" s="710"/>
      <c r="G555" s="710"/>
      <c r="H555" s="710"/>
      <c r="I555" s="710"/>
      <c r="J555" s="710"/>
      <c r="K555" s="710"/>
      <c r="L555" s="710"/>
      <c r="M555" s="710"/>
      <c r="N555" s="710"/>
      <c r="O555" s="710"/>
      <c r="P555" s="710"/>
      <c r="Q555" s="710"/>
      <c r="R555" s="710"/>
      <c r="S555" s="710"/>
      <c r="T555" s="710"/>
      <c r="U555" s="710"/>
      <c r="V555" s="710"/>
      <c r="W555" s="710"/>
      <c r="X555" s="710"/>
      <c r="Y555" s="710"/>
      <c r="Z555" s="710"/>
      <c r="AA555" s="710"/>
      <c r="AB555" s="710"/>
      <c r="AC555" s="710"/>
      <c r="AD555" s="710"/>
      <c r="AE555" s="710"/>
      <c r="AF555" s="710"/>
      <c r="AG555" s="710"/>
      <c r="AH555" s="710"/>
      <c r="AI555" s="710"/>
      <c r="AJ555" s="710"/>
      <c r="AK555" s="710"/>
      <c r="AL555" s="710"/>
      <c r="AM555" s="710"/>
      <c r="AN555" s="710"/>
      <c r="AO555" s="710"/>
      <c r="AP555" s="710"/>
    </row>
    <row r="556" spans="2:42">
      <c r="B556" s="710"/>
      <c r="C556" s="710"/>
      <c r="D556" s="710"/>
      <c r="E556" s="710"/>
      <c r="F556" s="710"/>
      <c r="G556" s="710"/>
      <c r="H556" s="710"/>
      <c r="I556" s="710"/>
      <c r="J556" s="710"/>
      <c r="K556" s="710"/>
      <c r="L556" s="710"/>
      <c r="M556" s="710"/>
      <c r="N556" s="710"/>
      <c r="O556" s="710"/>
      <c r="P556" s="710"/>
      <c r="Q556" s="710"/>
      <c r="R556" s="710"/>
      <c r="S556" s="710"/>
      <c r="T556" s="710"/>
      <c r="U556" s="710"/>
      <c r="V556" s="710"/>
      <c r="W556" s="710"/>
      <c r="X556" s="710"/>
      <c r="Y556" s="710"/>
      <c r="Z556" s="710"/>
      <c r="AA556" s="710"/>
      <c r="AB556" s="710"/>
      <c r="AC556" s="710"/>
      <c r="AD556" s="710"/>
      <c r="AE556" s="710"/>
      <c r="AF556" s="710"/>
      <c r="AG556" s="710"/>
      <c r="AH556" s="710"/>
      <c r="AI556" s="710"/>
      <c r="AJ556" s="710"/>
      <c r="AK556" s="710"/>
      <c r="AL556" s="710"/>
      <c r="AM556" s="710"/>
      <c r="AN556" s="710"/>
      <c r="AO556" s="710"/>
      <c r="AP556" s="710"/>
    </row>
    <row r="557" spans="2:42">
      <c r="B557" s="710"/>
      <c r="C557" s="710"/>
      <c r="D557" s="710"/>
      <c r="E557" s="710"/>
      <c r="F557" s="710"/>
      <c r="G557" s="710"/>
      <c r="H557" s="710"/>
      <c r="I557" s="710"/>
      <c r="J557" s="710"/>
      <c r="K557" s="710"/>
      <c r="L557" s="710"/>
      <c r="M557" s="710"/>
      <c r="N557" s="710"/>
      <c r="O557" s="710"/>
      <c r="P557" s="710"/>
      <c r="Q557" s="710"/>
      <c r="R557" s="710"/>
      <c r="S557" s="710"/>
      <c r="T557" s="710"/>
      <c r="U557" s="710"/>
      <c r="V557" s="710"/>
      <c r="W557" s="710"/>
      <c r="X557" s="710"/>
      <c r="Y557" s="710"/>
      <c r="Z557" s="710"/>
      <c r="AA557" s="710"/>
      <c r="AB557" s="710"/>
      <c r="AC557" s="710"/>
      <c r="AD557" s="710"/>
      <c r="AE557" s="710"/>
      <c r="AF557" s="710"/>
      <c r="AG557" s="710"/>
      <c r="AH557" s="710"/>
      <c r="AI557" s="710"/>
      <c r="AJ557" s="710"/>
      <c r="AK557" s="710"/>
      <c r="AL557" s="710"/>
      <c r="AM557" s="710"/>
      <c r="AN557" s="710"/>
      <c r="AO557" s="710"/>
      <c r="AP557" s="710"/>
    </row>
    <row r="558" spans="2:42">
      <c r="B558" s="710"/>
      <c r="C558" s="710"/>
      <c r="D558" s="710"/>
      <c r="E558" s="710"/>
      <c r="F558" s="710"/>
      <c r="G558" s="710"/>
      <c r="H558" s="710"/>
      <c r="I558" s="710"/>
      <c r="J558" s="710"/>
      <c r="K558" s="710"/>
      <c r="L558" s="710"/>
      <c r="M558" s="710"/>
      <c r="N558" s="710"/>
      <c r="O558" s="710"/>
      <c r="P558" s="710"/>
      <c r="Q558" s="710"/>
      <c r="R558" s="710"/>
      <c r="S558" s="710"/>
      <c r="T558" s="710"/>
      <c r="U558" s="710"/>
      <c r="V558" s="710"/>
      <c r="W558" s="710"/>
      <c r="X558" s="710"/>
      <c r="Y558" s="710"/>
      <c r="Z558" s="710"/>
      <c r="AA558" s="710"/>
      <c r="AB558" s="710"/>
      <c r="AC558" s="710"/>
      <c r="AD558" s="710"/>
      <c r="AE558" s="710"/>
      <c r="AF558" s="710"/>
      <c r="AG558" s="710"/>
      <c r="AH558" s="710"/>
      <c r="AI558" s="710"/>
      <c r="AJ558" s="710"/>
      <c r="AK558" s="710"/>
      <c r="AL558" s="710"/>
      <c r="AM558" s="710"/>
      <c r="AN558" s="710"/>
      <c r="AO558" s="710"/>
      <c r="AP558" s="710"/>
    </row>
    <row r="559" spans="2:42">
      <c r="B559" s="710"/>
      <c r="C559" s="710"/>
      <c r="D559" s="710"/>
      <c r="E559" s="710"/>
      <c r="F559" s="710"/>
      <c r="G559" s="710"/>
      <c r="H559" s="710"/>
      <c r="I559" s="710"/>
      <c r="J559" s="710"/>
      <c r="K559" s="710"/>
      <c r="L559" s="710"/>
      <c r="M559" s="710"/>
      <c r="N559" s="710"/>
      <c r="O559" s="710"/>
      <c r="P559" s="710"/>
      <c r="Q559" s="710"/>
      <c r="R559" s="710"/>
      <c r="S559" s="710"/>
      <c r="T559" s="710"/>
      <c r="U559" s="710"/>
      <c r="V559" s="710"/>
      <c r="W559" s="710"/>
      <c r="X559" s="710"/>
      <c r="Y559" s="710"/>
      <c r="Z559" s="710"/>
      <c r="AA559" s="710"/>
      <c r="AB559" s="710"/>
      <c r="AC559" s="710"/>
      <c r="AD559" s="710"/>
      <c r="AE559" s="710"/>
      <c r="AF559" s="710"/>
      <c r="AG559" s="710"/>
      <c r="AH559" s="710"/>
      <c r="AI559" s="710"/>
      <c r="AJ559" s="710"/>
      <c r="AK559" s="710"/>
      <c r="AL559" s="710"/>
      <c r="AM559" s="710"/>
      <c r="AN559" s="710"/>
      <c r="AO559" s="710"/>
      <c r="AP559" s="710"/>
    </row>
    <row r="560" spans="2:42">
      <c r="B560" s="710"/>
      <c r="C560" s="710"/>
      <c r="D560" s="710"/>
      <c r="E560" s="710"/>
      <c r="F560" s="710"/>
      <c r="G560" s="710"/>
      <c r="H560" s="710"/>
      <c r="I560" s="710"/>
      <c r="J560" s="710"/>
      <c r="K560" s="710"/>
      <c r="L560" s="710"/>
      <c r="M560" s="710"/>
      <c r="N560" s="710"/>
      <c r="O560" s="710"/>
      <c r="P560" s="710"/>
      <c r="Q560" s="710"/>
      <c r="R560" s="710"/>
      <c r="S560" s="710"/>
      <c r="T560" s="710"/>
      <c r="U560" s="710"/>
      <c r="V560" s="710"/>
      <c r="W560" s="710"/>
      <c r="X560" s="710"/>
      <c r="Y560" s="710"/>
      <c r="Z560" s="710"/>
      <c r="AA560" s="710"/>
      <c r="AB560" s="710"/>
      <c r="AC560" s="710"/>
      <c r="AD560" s="710"/>
      <c r="AE560" s="710"/>
      <c r="AF560" s="710"/>
      <c r="AG560" s="710"/>
      <c r="AH560" s="710"/>
      <c r="AI560" s="710"/>
      <c r="AJ560" s="710"/>
      <c r="AK560" s="710"/>
      <c r="AL560" s="710"/>
      <c r="AM560" s="710"/>
      <c r="AN560" s="710"/>
      <c r="AO560" s="710"/>
      <c r="AP560" s="710"/>
    </row>
    <row r="561" spans="2:42">
      <c r="B561" s="710"/>
      <c r="C561" s="710"/>
      <c r="D561" s="710"/>
      <c r="E561" s="710"/>
      <c r="F561" s="710"/>
      <c r="G561" s="710"/>
      <c r="H561" s="710"/>
      <c r="I561" s="710"/>
      <c r="J561" s="710"/>
      <c r="K561" s="710"/>
      <c r="L561" s="710"/>
      <c r="M561" s="710"/>
      <c r="N561" s="710"/>
      <c r="O561" s="710"/>
      <c r="P561" s="710"/>
      <c r="Q561" s="710"/>
      <c r="R561" s="710"/>
      <c r="S561" s="710"/>
      <c r="T561" s="710"/>
      <c r="U561" s="710"/>
      <c r="V561" s="710"/>
      <c r="W561" s="710"/>
      <c r="X561" s="710"/>
      <c r="Y561" s="710"/>
      <c r="Z561" s="710"/>
      <c r="AA561" s="710"/>
      <c r="AB561" s="710"/>
      <c r="AC561" s="710"/>
      <c r="AD561" s="710"/>
      <c r="AE561" s="710"/>
      <c r="AF561" s="710"/>
      <c r="AG561" s="710"/>
      <c r="AH561" s="710"/>
      <c r="AI561" s="710"/>
      <c r="AJ561" s="710"/>
      <c r="AK561" s="710"/>
      <c r="AL561" s="710"/>
      <c r="AM561" s="710"/>
      <c r="AN561" s="710"/>
      <c r="AO561" s="710"/>
      <c r="AP561" s="710"/>
    </row>
    <row r="562" spans="2:42">
      <c r="B562" s="710"/>
      <c r="C562" s="710"/>
      <c r="D562" s="710"/>
      <c r="E562" s="710"/>
      <c r="F562" s="710"/>
      <c r="G562" s="710"/>
      <c r="H562" s="710"/>
      <c r="I562" s="710"/>
      <c r="J562" s="710"/>
      <c r="K562" s="710"/>
      <c r="L562" s="710"/>
      <c r="M562" s="710"/>
      <c r="N562" s="710"/>
      <c r="O562" s="710"/>
      <c r="P562" s="710"/>
      <c r="Q562" s="710"/>
      <c r="R562" s="710"/>
      <c r="S562" s="710"/>
      <c r="T562" s="710"/>
      <c r="U562" s="710"/>
      <c r="V562" s="710"/>
      <c r="W562" s="710"/>
      <c r="X562" s="710"/>
      <c r="Y562" s="710"/>
      <c r="Z562" s="710"/>
      <c r="AA562" s="710"/>
      <c r="AB562" s="710"/>
      <c r="AC562" s="710"/>
      <c r="AD562" s="710"/>
      <c r="AE562" s="710"/>
      <c r="AF562" s="710"/>
      <c r="AG562" s="710"/>
      <c r="AH562" s="710"/>
      <c r="AI562" s="710"/>
      <c r="AJ562" s="710"/>
      <c r="AK562" s="710"/>
      <c r="AL562" s="710"/>
      <c r="AM562" s="710"/>
      <c r="AN562" s="710"/>
      <c r="AO562" s="710"/>
      <c r="AP562" s="710"/>
    </row>
    <row r="563" spans="2:42">
      <c r="B563" s="710"/>
      <c r="C563" s="710"/>
      <c r="D563" s="710"/>
      <c r="E563" s="710"/>
      <c r="F563" s="710"/>
      <c r="G563" s="710"/>
      <c r="H563" s="710"/>
      <c r="I563" s="710"/>
      <c r="J563" s="710"/>
      <c r="K563" s="710"/>
      <c r="L563" s="710"/>
      <c r="M563" s="710"/>
      <c r="N563" s="710"/>
      <c r="O563" s="710"/>
      <c r="P563" s="710"/>
      <c r="Q563" s="710"/>
      <c r="R563" s="710"/>
      <c r="S563" s="710"/>
      <c r="T563" s="710"/>
      <c r="U563" s="710"/>
      <c r="V563" s="710"/>
      <c r="W563" s="710"/>
      <c r="X563" s="710"/>
      <c r="Y563" s="710"/>
      <c r="Z563" s="710"/>
      <c r="AA563" s="710"/>
      <c r="AB563" s="710"/>
      <c r="AC563" s="710"/>
      <c r="AD563" s="710"/>
      <c r="AE563" s="710"/>
      <c r="AF563" s="710"/>
      <c r="AG563" s="710"/>
      <c r="AH563" s="710"/>
      <c r="AI563" s="710"/>
      <c r="AJ563" s="710"/>
      <c r="AK563" s="710"/>
      <c r="AL563" s="710"/>
      <c r="AM563" s="710"/>
      <c r="AN563" s="710"/>
      <c r="AO563" s="710"/>
      <c r="AP563" s="710"/>
    </row>
    <row r="564" spans="2:42">
      <c r="B564" s="710"/>
      <c r="C564" s="710"/>
      <c r="D564" s="710"/>
      <c r="E564" s="710"/>
      <c r="F564" s="710"/>
      <c r="G564" s="710"/>
      <c r="H564" s="710"/>
      <c r="I564" s="710"/>
      <c r="J564" s="710"/>
      <c r="K564" s="710"/>
      <c r="L564" s="710"/>
      <c r="M564" s="710"/>
      <c r="N564" s="710"/>
      <c r="O564" s="710"/>
      <c r="P564" s="710"/>
      <c r="Q564" s="710"/>
      <c r="R564" s="710"/>
      <c r="S564" s="710"/>
      <c r="T564" s="710"/>
      <c r="U564" s="710"/>
      <c r="V564" s="710"/>
      <c r="W564" s="710"/>
      <c r="X564" s="710"/>
      <c r="Y564" s="710"/>
      <c r="Z564" s="710"/>
      <c r="AA564" s="710"/>
      <c r="AB564" s="710"/>
      <c r="AC564" s="710"/>
      <c r="AD564" s="710"/>
      <c r="AE564" s="710"/>
      <c r="AF564" s="710"/>
      <c r="AG564" s="710"/>
      <c r="AH564" s="710"/>
      <c r="AI564" s="710"/>
      <c r="AJ564" s="710"/>
      <c r="AK564" s="710"/>
      <c r="AL564" s="710"/>
      <c r="AM564" s="710"/>
      <c r="AN564" s="710"/>
      <c r="AO564" s="710"/>
      <c r="AP564" s="710"/>
    </row>
    <row r="565" spans="2:42">
      <c r="B565" s="710"/>
      <c r="C565" s="710"/>
      <c r="D565" s="710"/>
      <c r="E565" s="710"/>
      <c r="F565" s="710"/>
      <c r="G565" s="710"/>
      <c r="H565" s="710"/>
      <c r="I565" s="710"/>
      <c r="J565" s="710"/>
      <c r="K565" s="710"/>
      <c r="L565" s="710"/>
      <c r="M565" s="710"/>
      <c r="N565" s="710"/>
      <c r="O565" s="710"/>
      <c r="P565" s="710"/>
      <c r="Q565" s="710"/>
      <c r="R565" s="710"/>
      <c r="S565" s="710"/>
      <c r="T565" s="710"/>
      <c r="U565" s="710"/>
      <c r="V565" s="710"/>
      <c r="W565" s="710"/>
      <c r="X565" s="710"/>
      <c r="Y565" s="710"/>
      <c r="Z565" s="710"/>
      <c r="AA565" s="710"/>
      <c r="AB565" s="710"/>
      <c r="AC565" s="710"/>
      <c r="AD565" s="710"/>
      <c r="AE565" s="710"/>
      <c r="AF565" s="710"/>
      <c r="AG565" s="710"/>
      <c r="AH565" s="710"/>
      <c r="AI565" s="710"/>
      <c r="AJ565" s="710"/>
      <c r="AK565" s="710"/>
      <c r="AL565" s="710"/>
      <c r="AM565" s="710"/>
      <c r="AN565" s="710"/>
      <c r="AO565" s="710"/>
      <c r="AP565" s="710"/>
    </row>
    <row r="566" spans="2:42">
      <c r="B566" s="710"/>
      <c r="C566" s="710"/>
      <c r="D566" s="710"/>
      <c r="E566" s="710"/>
      <c r="F566" s="710"/>
      <c r="G566" s="710"/>
      <c r="H566" s="710"/>
      <c r="I566" s="710"/>
      <c r="J566" s="710"/>
      <c r="K566" s="710"/>
      <c r="L566" s="710"/>
      <c r="M566" s="710"/>
      <c r="N566" s="710"/>
      <c r="O566" s="710"/>
      <c r="P566" s="710"/>
      <c r="Q566" s="710"/>
      <c r="R566" s="710"/>
      <c r="S566" s="710"/>
      <c r="T566" s="710"/>
      <c r="U566" s="710"/>
      <c r="V566" s="710"/>
      <c r="W566" s="710"/>
      <c r="X566" s="710"/>
      <c r="Y566" s="710"/>
      <c r="Z566" s="710"/>
      <c r="AA566" s="710"/>
      <c r="AB566" s="710"/>
      <c r="AC566" s="710"/>
      <c r="AD566" s="710"/>
      <c r="AE566" s="710"/>
      <c r="AF566" s="710"/>
      <c r="AG566" s="710"/>
      <c r="AH566" s="710"/>
      <c r="AI566" s="710"/>
      <c r="AJ566" s="710"/>
      <c r="AK566" s="710"/>
      <c r="AL566" s="710"/>
      <c r="AM566" s="710"/>
      <c r="AN566" s="710"/>
      <c r="AO566" s="710"/>
      <c r="AP566" s="710"/>
    </row>
    <row r="567" spans="2:42">
      <c r="B567" s="710"/>
      <c r="C567" s="710"/>
      <c r="D567" s="710"/>
      <c r="E567" s="710"/>
      <c r="F567" s="710"/>
      <c r="G567" s="710"/>
      <c r="H567" s="710"/>
      <c r="I567" s="710"/>
      <c r="J567" s="710"/>
      <c r="K567" s="710"/>
      <c r="L567" s="710"/>
      <c r="M567" s="710"/>
      <c r="N567" s="710"/>
      <c r="O567" s="710"/>
      <c r="P567" s="710"/>
      <c r="Q567" s="710"/>
      <c r="R567" s="710"/>
      <c r="S567" s="710"/>
      <c r="T567" s="710"/>
      <c r="U567" s="710"/>
      <c r="V567" s="710"/>
      <c r="W567" s="710"/>
      <c r="X567" s="710"/>
      <c r="Y567" s="710"/>
      <c r="Z567" s="710"/>
      <c r="AA567" s="710"/>
      <c r="AB567" s="710"/>
      <c r="AC567" s="710"/>
      <c r="AD567" s="710"/>
      <c r="AE567" s="710"/>
      <c r="AF567" s="710"/>
      <c r="AG567" s="710"/>
      <c r="AH567" s="710"/>
      <c r="AI567" s="710"/>
      <c r="AJ567" s="710"/>
      <c r="AK567" s="710"/>
      <c r="AL567" s="710"/>
      <c r="AM567" s="710"/>
      <c r="AN567" s="710"/>
      <c r="AO567" s="710"/>
      <c r="AP567" s="710"/>
    </row>
    <row r="568" spans="2:42">
      <c r="B568" s="710"/>
      <c r="C568" s="710"/>
      <c r="D568" s="710"/>
      <c r="E568" s="710"/>
      <c r="F568" s="710"/>
      <c r="G568" s="710"/>
      <c r="H568" s="710"/>
      <c r="I568" s="710"/>
      <c r="J568" s="710"/>
      <c r="K568" s="710"/>
      <c r="L568" s="710"/>
      <c r="M568" s="710"/>
      <c r="N568" s="710"/>
      <c r="O568" s="710"/>
      <c r="P568" s="710"/>
      <c r="Q568" s="710"/>
      <c r="R568" s="710"/>
      <c r="S568" s="710"/>
      <c r="T568" s="710"/>
      <c r="U568" s="710"/>
      <c r="V568" s="710"/>
      <c r="W568" s="710"/>
      <c r="X568" s="710"/>
      <c r="Y568" s="710"/>
      <c r="Z568" s="710"/>
      <c r="AA568" s="710"/>
      <c r="AB568" s="710"/>
      <c r="AC568" s="710"/>
      <c r="AD568" s="710"/>
      <c r="AE568" s="710"/>
      <c r="AF568" s="710"/>
      <c r="AG568" s="710"/>
      <c r="AH568" s="710"/>
      <c r="AI568" s="710"/>
      <c r="AJ568" s="710"/>
      <c r="AK568" s="710"/>
      <c r="AL568" s="710"/>
      <c r="AM568" s="710"/>
      <c r="AN568" s="710"/>
      <c r="AO568" s="710"/>
      <c r="AP568" s="710"/>
    </row>
    <row r="569" spans="2:42">
      <c r="B569" s="710"/>
      <c r="C569" s="710"/>
      <c r="D569" s="710"/>
      <c r="E569" s="710"/>
      <c r="F569" s="710"/>
      <c r="G569" s="710"/>
      <c r="H569" s="710"/>
      <c r="I569" s="710"/>
      <c r="J569" s="710"/>
      <c r="K569" s="710"/>
      <c r="L569" s="710"/>
      <c r="M569" s="710"/>
      <c r="N569" s="710"/>
      <c r="O569" s="710"/>
      <c r="P569" s="710"/>
      <c r="Q569" s="710"/>
      <c r="R569" s="710"/>
      <c r="S569" s="710"/>
      <c r="T569" s="710"/>
      <c r="U569" s="710"/>
      <c r="V569" s="710"/>
      <c r="W569" s="710"/>
      <c r="X569" s="710"/>
      <c r="Y569" s="710"/>
      <c r="Z569" s="710"/>
      <c r="AA569" s="710"/>
      <c r="AB569" s="710"/>
      <c r="AC569" s="710"/>
      <c r="AD569" s="710"/>
      <c r="AE569" s="710"/>
      <c r="AF569" s="710"/>
      <c r="AG569" s="710"/>
      <c r="AH569" s="710"/>
      <c r="AI569" s="710"/>
      <c r="AJ569" s="710"/>
      <c r="AK569" s="710"/>
      <c r="AL569" s="710"/>
      <c r="AM569" s="710"/>
      <c r="AN569" s="710"/>
      <c r="AO569" s="710"/>
      <c r="AP569" s="710"/>
    </row>
    <row r="570" spans="2:42">
      <c r="B570" s="710"/>
      <c r="C570" s="710"/>
      <c r="D570" s="710"/>
      <c r="E570" s="710"/>
      <c r="F570" s="710"/>
      <c r="G570" s="710"/>
      <c r="H570" s="710"/>
      <c r="I570" s="710"/>
      <c r="J570" s="710"/>
      <c r="K570" s="710"/>
      <c r="L570" s="710"/>
      <c r="M570" s="710"/>
      <c r="N570" s="710"/>
      <c r="O570" s="710"/>
      <c r="P570" s="710"/>
      <c r="Q570" s="710"/>
      <c r="R570" s="710"/>
      <c r="S570" s="710"/>
      <c r="T570" s="710"/>
      <c r="U570" s="710"/>
      <c r="V570" s="710"/>
      <c r="W570" s="710"/>
      <c r="X570" s="710"/>
      <c r="Y570" s="710"/>
      <c r="Z570" s="710"/>
      <c r="AA570" s="710"/>
      <c r="AB570" s="710"/>
      <c r="AC570" s="710"/>
      <c r="AD570" s="710"/>
      <c r="AE570" s="710"/>
      <c r="AF570" s="710"/>
      <c r="AG570" s="710"/>
      <c r="AH570" s="710"/>
      <c r="AI570" s="710"/>
      <c r="AJ570" s="710"/>
      <c r="AK570" s="710"/>
      <c r="AL570" s="710"/>
      <c r="AM570" s="710"/>
      <c r="AN570" s="710"/>
      <c r="AO570" s="710"/>
      <c r="AP570" s="710"/>
    </row>
    <row r="571" spans="2:42">
      <c r="B571" s="710"/>
      <c r="C571" s="710"/>
      <c r="D571" s="710"/>
      <c r="E571" s="710"/>
      <c r="F571" s="710"/>
      <c r="G571" s="710"/>
      <c r="H571" s="710"/>
      <c r="I571" s="710"/>
      <c r="J571" s="710"/>
      <c r="K571" s="710"/>
      <c r="L571" s="710"/>
      <c r="M571" s="710"/>
      <c r="N571" s="710"/>
      <c r="O571" s="710"/>
      <c r="P571" s="710"/>
      <c r="Q571" s="710"/>
      <c r="R571" s="710"/>
      <c r="S571" s="710"/>
      <c r="T571" s="710"/>
      <c r="U571" s="710"/>
      <c r="V571" s="710"/>
      <c r="W571" s="710"/>
      <c r="X571" s="710"/>
      <c r="Y571" s="710"/>
      <c r="Z571" s="710"/>
      <c r="AA571" s="710"/>
      <c r="AB571" s="710"/>
      <c r="AC571" s="710"/>
      <c r="AD571" s="710"/>
      <c r="AE571" s="710"/>
      <c r="AF571" s="710"/>
      <c r="AG571" s="710"/>
      <c r="AH571" s="710"/>
      <c r="AI571" s="710"/>
      <c r="AJ571" s="710"/>
      <c r="AK571" s="710"/>
      <c r="AL571" s="710"/>
      <c r="AM571" s="710"/>
      <c r="AN571" s="710"/>
      <c r="AO571" s="710"/>
      <c r="AP571" s="710"/>
    </row>
    <row r="572" spans="2:42">
      <c r="B572" s="710"/>
      <c r="C572" s="710"/>
      <c r="D572" s="710"/>
      <c r="E572" s="710"/>
      <c r="F572" s="710"/>
      <c r="G572" s="710"/>
      <c r="H572" s="710"/>
      <c r="I572" s="710"/>
      <c r="J572" s="710"/>
      <c r="K572" s="710"/>
      <c r="L572" s="710"/>
      <c r="M572" s="710"/>
      <c r="N572" s="710"/>
      <c r="O572" s="710"/>
      <c r="P572" s="710"/>
      <c r="Q572" s="710"/>
      <c r="R572" s="710"/>
      <c r="S572" s="710"/>
      <c r="T572" s="710"/>
      <c r="U572" s="710"/>
      <c r="V572" s="710"/>
      <c r="W572" s="710"/>
      <c r="X572" s="710"/>
      <c r="Y572" s="710"/>
      <c r="Z572" s="710"/>
      <c r="AA572" s="710"/>
      <c r="AB572" s="710"/>
      <c r="AC572" s="710"/>
      <c r="AD572" s="710"/>
      <c r="AE572" s="710"/>
      <c r="AF572" s="710"/>
      <c r="AG572" s="710"/>
      <c r="AH572" s="710"/>
      <c r="AI572" s="710"/>
      <c r="AJ572" s="710"/>
      <c r="AK572" s="710"/>
      <c r="AL572" s="710"/>
      <c r="AM572" s="710"/>
      <c r="AN572" s="710"/>
      <c r="AO572" s="710"/>
      <c r="AP572" s="710"/>
    </row>
    <row r="573" spans="2:42">
      <c r="B573" s="710"/>
      <c r="C573" s="710"/>
      <c r="D573" s="710"/>
      <c r="E573" s="710"/>
      <c r="F573" s="710"/>
      <c r="G573" s="710"/>
      <c r="H573" s="710"/>
      <c r="I573" s="710"/>
      <c r="J573" s="710"/>
      <c r="K573" s="710"/>
      <c r="L573" s="710"/>
      <c r="M573" s="710"/>
      <c r="N573" s="710"/>
      <c r="O573" s="710"/>
      <c r="P573" s="710"/>
      <c r="Q573" s="710"/>
      <c r="R573" s="710"/>
      <c r="S573" s="710"/>
      <c r="T573" s="710"/>
      <c r="U573" s="710"/>
      <c r="V573" s="710"/>
      <c r="W573" s="710"/>
      <c r="X573" s="710"/>
      <c r="Y573" s="710"/>
      <c r="Z573" s="710"/>
      <c r="AA573" s="710"/>
      <c r="AB573" s="710"/>
      <c r="AC573" s="710"/>
      <c r="AD573" s="710"/>
      <c r="AE573" s="710"/>
      <c r="AF573" s="710"/>
      <c r="AG573" s="710"/>
      <c r="AH573" s="710"/>
      <c r="AI573" s="710"/>
      <c r="AJ573" s="710"/>
      <c r="AK573" s="710"/>
      <c r="AL573" s="710"/>
      <c r="AM573" s="710"/>
      <c r="AN573" s="710"/>
      <c r="AO573" s="710"/>
      <c r="AP573" s="710"/>
    </row>
    <row r="574" spans="2:42">
      <c r="B574" s="710"/>
      <c r="C574" s="710"/>
      <c r="D574" s="710"/>
      <c r="E574" s="710"/>
      <c r="F574" s="710"/>
      <c r="G574" s="710"/>
      <c r="H574" s="710"/>
      <c r="I574" s="710"/>
      <c r="J574" s="710"/>
      <c r="K574" s="710"/>
      <c r="L574" s="710"/>
      <c r="M574" s="710"/>
      <c r="N574" s="710"/>
      <c r="O574" s="710"/>
      <c r="P574" s="710"/>
      <c r="Q574" s="710"/>
      <c r="R574" s="710"/>
      <c r="S574" s="710"/>
      <c r="T574" s="710"/>
      <c r="U574" s="710"/>
      <c r="V574" s="710"/>
      <c r="W574" s="710"/>
      <c r="X574" s="710"/>
      <c r="Y574" s="710"/>
      <c r="Z574" s="710"/>
      <c r="AA574" s="710"/>
      <c r="AB574" s="710"/>
      <c r="AC574" s="710"/>
      <c r="AD574" s="710"/>
      <c r="AE574" s="710"/>
      <c r="AF574" s="710"/>
      <c r="AG574" s="710"/>
      <c r="AH574" s="710"/>
      <c r="AI574" s="710"/>
      <c r="AJ574" s="710"/>
      <c r="AK574" s="710"/>
      <c r="AL574" s="710"/>
      <c r="AM574" s="710"/>
      <c r="AN574" s="710"/>
      <c r="AO574" s="710"/>
      <c r="AP574" s="710"/>
    </row>
    <row r="575" spans="2:42">
      <c r="B575" s="710"/>
      <c r="C575" s="710"/>
      <c r="D575" s="710"/>
      <c r="E575" s="710"/>
      <c r="F575" s="710"/>
      <c r="G575" s="710"/>
      <c r="H575" s="710"/>
      <c r="I575" s="710"/>
      <c r="J575" s="710"/>
      <c r="K575" s="710"/>
      <c r="L575" s="710"/>
      <c r="M575" s="710"/>
      <c r="N575" s="710"/>
      <c r="O575" s="710"/>
      <c r="P575" s="710"/>
      <c r="Q575" s="710"/>
      <c r="R575" s="710"/>
      <c r="S575" s="710"/>
      <c r="T575" s="710"/>
      <c r="U575" s="710"/>
      <c r="V575" s="710"/>
      <c r="W575" s="710"/>
      <c r="X575" s="710"/>
      <c r="Y575" s="710"/>
      <c r="Z575" s="710"/>
      <c r="AA575" s="710"/>
      <c r="AB575" s="710"/>
      <c r="AC575" s="710"/>
      <c r="AD575" s="710"/>
      <c r="AE575" s="710"/>
      <c r="AF575" s="710"/>
      <c r="AG575" s="710"/>
      <c r="AH575" s="710"/>
      <c r="AI575" s="710"/>
      <c r="AJ575" s="710"/>
      <c r="AK575" s="710"/>
      <c r="AL575" s="710"/>
      <c r="AM575" s="710"/>
      <c r="AN575" s="710"/>
      <c r="AO575" s="710"/>
      <c r="AP575" s="710"/>
    </row>
    <row r="576" spans="2:42">
      <c r="B576" s="710"/>
      <c r="C576" s="710"/>
      <c r="D576" s="710"/>
      <c r="E576" s="710"/>
      <c r="F576" s="710"/>
      <c r="G576" s="710"/>
      <c r="H576" s="710"/>
      <c r="I576" s="710"/>
      <c r="J576" s="710"/>
      <c r="K576" s="710"/>
      <c r="L576" s="710"/>
      <c r="M576" s="710"/>
      <c r="N576" s="710"/>
      <c r="O576" s="710"/>
      <c r="P576" s="710"/>
      <c r="Q576" s="710"/>
      <c r="R576" s="710"/>
      <c r="S576" s="710"/>
      <c r="T576" s="710"/>
      <c r="U576" s="710"/>
      <c r="V576" s="710"/>
      <c r="W576" s="710"/>
      <c r="X576" s="710"/>
      <c r="Y576" s="710"/>
      <c r="Z576" s="710"/>
      <c r="AA576" s="710"/>
      <c r="AB576" s="710"/>
      <c r="AC576" s="710"/>
      <c r="AD576" s="710"/>
      <c r="AE576" s="710"/>
      <c r="AF576" s="710"/>
      <c r="AG576" s="710"/>
      <c r="AH576" s="710"/>
      <c r="AI576" s="710"/>
      <c r="AJ576" s="710"/>
      <c r="AK576" s="710"/>
      <c r="AL576" s="710"/>
      <c r="AM576" s="710"/>
      <c r="AN576" s="710"/>
      <c r="AO576" s="710"/>
      <c r="AP576" s="710"/>
    </row>
    <row r="577" spans="2:42">
      <c r="B577" s="710"/>
      <c r="C577" s="710"/>
      <c r="D577" s="710"/>
      <c r="E577" s="710"/>
      <c r="F577" s="710"/>
      <c r="G577" s="710"/>
      <c r="H577" s="710"/>
      <c r="I577" s="710"/>
      <c r="J577" s="710"/>
      <c r="K577" s="710"/>
      <c r="L577" s="710"/>
      <c r="M577" s="710"/>
      <c r="N577" s="710"/>
      <c r="O577" s="710"/>
      <c r="P577" s="710"/>
      <c r="Q577" s="710"/>
      <c r="R577" s="710"/>
      <c r="S577" s="710"/>
      <c r="T577" s="710"/>
      <c r="U577" s="710"/>
      <c r="V577" s="710"/>
      <c r="W577" s="710"/>
      <c r="X577" s="710"/>
      <c r="Y577" s="710"/>
      <c r="Z577" s="710"/>
      <c r="AA577" s="710"/>
      <c r="AB577" s="710"/>
      <c r="AC577" s="710"/>
      <c r="AD577" s="710"/>
      <c r="AE577" s="710"/>
      <c r="AF577" s="710"/>
      <c r="AG577" s="710"/>
      <c r="AH577" s="710"/>
      <c r="AI577" s="710"/>
      <c r="AJ577" s="710"/>
      <c r="AK577" s="710"/>
      <c r="AL577" s="710"/>
      <c r="AM577" s="710"/>
      <c r="AN577" s="710"/>
      <c r="AO577" s="710"/>
      <c r="AP577" s="710"/>
    </row>
    <row r="578" spans="2:42">
      <c r="B578" s="710"/>
      <c r="C578" s="710"/>
      <c r="D578" s="710"/>
      <c r="E578" s="710"/>
      <c r="F578" s="710"/>
      <c r="G578" s="710"/>
      <c r="H578" s="710"/>
      <c r="I578" s="710"/>
      <c r="J578" s="710"/>
      <c r="K578" s="710"/>
      <c r="L578" s="710"/>
      <c r="M578" s="710"/>
      <c r="N578" s="710"/>
      <c r="O578" s="710"/>
      <c r="P578" s="710"/>
      <c r="Q578" s="710"/>
      <c r="R578" s="710"/>
      <c r="S578" s="710"/>
      <c r="T578" s="710"/>
      <c r="U578" s="710"/>
      <c r="V578" s="710"/>
      <c r="W578" s="710"/>
      <c r="X578" s="710"/>
      <c r="Y578" s="710"/>
      <c r="Z578" s="710"/>
      <c r="AA578" s="710"/>
      <c r="AB578" s="710"/>
      <c r="AC578" s="710"/>
      <c r="AD578" s="710"/>
      <c r="AE578" s="710"/>
      <c r="AF578" s="710"/>
      <c r="AG578" s="710"/>
      <c r="AH578" s="710"/>
      <c r="AI578" s="710"/>
      <c r="AJ578" s="710"/>
      <c r="AK578" s="710"/>
      <c r="AL578" s="710"/>
      <c r="AM578" s="710"/>
      <c r="AN578" s="710"/>
      <c r="AO578" s="710"/>
      <c r="AP578" s="710"/>
    </row>
    <row r="579" spans="2:42">
      <c r="B579" s="710"/>
      <c r="C579" s="710"/>
      <c r="D579" s="710"/>
      <c r="E579" s="710"/>
      <c r="F579" s="710"/>
      <c r="G579" s="710"/>
      <c r="H579" s="710"/>
      <c r="I579" s="710"/>
      <c r="J579" s="710"/>
      <c r="K579" s="710"/>
      <c r="L579" s="710"/>
      <c r="M579" s="710"/>
      <c r="N579" s="710"/>
      <c r="O579" s="710"/>
      <c r="P579" s="710"/>
      <c r="Q579" s="710"/>
      <c r="R579" s="710"/>
      <c r="S579" s="710"/>
      <c r="T579" s="710"/>
      <c r="U579" s="710"/>
      <c r="V579" s="710"/>
      <c r="W579" s="710"/>
      <c r="X579" s="710"/>
      <c r="Y579" s="710"/>
      <c r="Z579" s="710"/>
      <c r="AA579" s="710"/>
      <c r="AB579" s="710"/>
      <c r="AC579" s="710"/>
      <c r="AD579" s="710"/>
      <c r="AE579" s="710"/>
      <c r="AF579" s="710"/>
      <c r="AG579" s="710"/>
      <c r="AH579" s="710"/>
      <c r="AI579" s="710"/>
      <c r="AJ579" s="710"/>
      <c r="AK579" s="710"/>
      <c r="AL579" s="710"/>
      <c r="AM579" s="710"/>
      <c r="AN579" s="710"/>
      <c r="AO579" s="710"/>
      <c r="AP579" s="710"/>
    </row>
    <row r="580" spans="2:42">
      <c r="B580" s="710"/>
      <c r="C580" s="710"/>
      <c r="D580" s="710"/>
      <c r="E580" s="710"/>
      <c r="F580" s="710"/>
      <c r="G580" s="710"/>
      <c r="H580" s="710"/>
      <c r="I580" s="710"/>
      <c r="J580" s="710"/>
      <c r="K580" s="710"/>
      <c r="L580" s="710"/>
      <c r="M580" s="710"/>
      <c r="N580" s="710"/>
      <c r="O580" s="710"/>
      <c r="P580" s="710"/>
      <c r="Q580" s="710"/>
      <c r="R580" s="710"/>
      <c r="S580" s="710"/>
      <c r="T580" s="710"/>
      <c r="U580" s="710"/>
      <c r="V580" s="710"/>
      <c r="W580" s="710"/>
      <c r="X580" s="710"/>
      <c r="Y580" s="710"/>
      <c r="Z580" s="710"/>
      <c r="AA580" s="710"/>
      <c r="AB580" s="710"/>
      <c r="AC580" s="710"/>
      <c r="AD580" s="710"/>
      <c r="AE580" s="710"/>
      <c r="AF580" s="710"/>
      <c r="AG580" s="710"/>
      <c r="AH580" s="710"/>
      <c r="AI580" s="710"/>
      <c r="AJ580" s="710"/>
      <c r="AK580" s="710"/>
      <c r="AL580" s="710"/>
      <c r="AM580" s="710"/>
      <c r="AN580" s="710"/>
      <c r="AO580" s="710"/>
      <c r="AP580" s="710"/>
    </row>
    <row r="581" spans="2:42">
      <c r="B581" s="710"/>
      <c r="C581" s="710"/>
      <c r="D581" s="710"/>
      <c r="E581" s="710"/>
      <c r="F581" s="710"/>
      <c r="G581" s="710"/>
      <c r="H581" s="710"/>
      <c r="I581" s="710"/>
      <c r="J581" s="710"/>
      <c r="K581" s="710"/>
      <c r="L581" s="710"/>
      <c r="M581" s="710"/>
      <c r="N581" s="710"/>
      <c r="O581" s="710"/>
      <c r="P581" s="710"/>
      <c r="Q581" s="710"/>
      <c r="R581" s="710"/>
      <c r="S581" s="710"/>
      <c r="T581" s="710"/>
      <c r="U581" s="710"/>
      <c r="V581" s="710"/>
      <c r="W581" s="710"/>
      <c r="X581" s="710"/>
      <c r="Y581" s="710"/>
      <c r="Z581" s="710"/>
      <c r="AA581" s="710"/>
      <c r="AB581" s="710"/>
      <c r="AC581" s="710"/>
      <c r="AD581" s="710"/>
      <c r="AE581" s="710"/>
      <c r="AF581" s="710"/>
      <c r="AG581" s="710"/>
      <c r="AH581" s="710"/>
      <c r="AI581" s="710"/>
      <c r="AJ581" s="710"/>
      <c r="AK581" s="710"/>
      <c r="AL581" s="710"/>
      <c r="AM581" s="710"/>
      <c r="AN581" s="710"/>
      <c r="AO581" s="710"/>
      <c r="AP581" s="710"/>
    </row>
    <row r="582" spans="2:42">
      <c r="B582" s="710"/>
      <c r="C582" s="710"/>
      <c r="D582" s="710"/>
      <c r="E582" s="710"/>
      <c r="F582" s="710"/>
      <c r="G582" s="710"/>
      <c r="H582" s="710"/>
      <c r="I582" s="710"/>
      <c r="J582" s="710"/>
      <c r="K582" s="710"/>
      <c r="L582" s="710"/>
      <c r="M582" s="710"/>
      <c r="N582" s="710"/>
      <c r="O582" s="710"/>
      <c r="P582" s="710"/>
      <c r="Q582" s="710"/>
      <c r="R582" s="710"/>
      <c r="S582" s="710"/>
      <c r="T582" s="710"/>
      <c r="U582" s="710"/>
      <c r="V582" s="710"/>
      <c r="W582" s="710"/>
      <c r="X582" s="710"/>
      <c r="Y582" s="710"/>
      <c r="Z582" s="710"/>
      <c r="AA582" s="710"/>
      <c r="AB582" s="710"/>
      <c r="AC582" s="710"/>
      <c r="AD582" s="710"/>
      <c r="AE582" s="710"/>
      <c r="AF582" s="710"/>
      <c r="AG582" s="710"/>
      <c r="AH582" s="710"/>
      <c r="AI582" s="710"/>
      <c r="AJ582" s="710"/>
      <c r="AK582" s="710"/>
      <c r="AL582" s="710"/>
      <c r="AM582" s="710"/>
      <c r="AN582" s="710"/>
      <c r="AO582" s="710"/>
      <c r="AP582" s="710"/>
    </row>
    <row r="583" spans="2:42">
      <c r="B583" s="710"/>
      <c r="C583" s="710"/>
      <c r="D583" s="710"/>
      <c r="E583" s="710"/>
      <c r="F583" s="710"/>
      <c r="G583" s="710"/>
      <c r="H583" s="710"/>
      <c r="I583" s="710"/>
      <c r="J583" s="710"/>
      <c r="K583" s="710"/>
      <c r="L583" s="710"/>
      <c r="M583" s="710"/>
      <c r="N583" s="710"/>
      <c r="O583" s="710"/>
      <c r="P583" s="710"/>
      <c r="Q583" s="710"/>
      <c r="R583" s="710"/>
      <c r="S583" s="710"/>
      <c r="T583" s="710"/>
      <c r="U583" s="710"/>
      <c r="V583" s="710"/>
      <c r="W583" s="710"/>
      <c r="X583" s="710"/>
      <c r="Y583" s="710"/>
      <c r="Z583" s="710"/>
      <c r="AA583" s="710"/>
      <c r="AB583" s="710"/>
      <c r="AC583" s="710"/>
      <c r="AD583" s="710"/>
      <c r="AE583" s="710"/>
      <c r="AF583" s="710"/>
      <c r="AG583" s="710"/>
      <c r="AH583" s="710"/>
      <c r="AI583" s="710"/>
      <c r="AJ583" s="710"/>
      <c r="AK583" s="710"/>
      <c r="AL583" s="710"/>
      <c r="AM583" s="710"/>
      <c r="AN583" s="710"/>
      <c r="AO583" s="710"/>
      <c r="AP583" s="710"/>
    </row>
    <row r="584" spans="2:42">
      <c r="B584" s="710"/>
      <c r="C584" s="710"/>
      <c r="D584" s="710"/>
      <c r="E584" s="710"/>
      <c r="F584" s="710"/>
      <c r="G584" s="710"/>
      <c r="H584" s="710"/>
      <c r="I584" s="710"/>
      <c r="J584" s="710"/>
      <c r="K584" s="710"/>
      <c r="L584" s="710"/>
      <c r="M584" s="710"/>
      <c r="N584" s="710"/>
      <c r="O584" s="710"/>
      <c r="P584" s="710"/>
      <c r="Q584" s="710"/>
      <c r="R584" s="710"/>
      <c r="S584" s="710"/>
      <c r="T584" s="710"/>
      <c r="U584" s="710"/>
      <c r="V584" s="710"/>
      <c r="W584" s="710"/>
      <c r="X584" s="710"/>
      <c r="Y584" s="710"/>
      <c r="Z584" s="710"/>
      <c r="AA584" s="710"/>
      <c r="AB584" s="710"/>
      <c r="AC584" s="710"/>
      <c r="AD584" s="710"/>
      <c r="AE584" s="710"/>
      <c r="AF584" s="710"/>
      <c r="AG584" s="710"/>
      <c r="AH584" s="710"/>
      <c r="AI584" s="710"/>
      <c r="AJ584" s="710"/>
      <c r="AK584" s="710"/>
      <c r="AL584" s="710"/>
      <c r="AM584" s="710"/>
      <c r="AN584" s="710"/>
      <c r="AO584" s="710"/>
      <c r="AP584" s="710"/>
    </row>
    <row r="585" spans="2:42">
      <c r="B585" s="710"/>
      <c r="C585" s="710"/>
      <c r="D585" s="710"/>
      <c r="E585" s="710"/>
      <c r="F585" s="710"/>
      <c r="G585" s="710"/>
      <c r="H585" s="710"/>
      <c r="I585" s="710"/>
      <c r="J585" s="710"/>
      <c r="K585" s="710"/>
      <c r="L585" s="710"/>
      <c r="M585" s="710"/>
      <c r="N585" s="710"/>
      <c r="O585" s="710"/>
      <c r="P585" s="710"/>
      <c r="Q585" s="710"/>
      <c r="R585" s="710"/>
      <c r="S585" s="710"/>
      <c r="T585" s="710"/>
      <c r="U585" s="710"/>
      <c r="V585" s="710"/>
      <c r="W585" s="710"/>
      <c r="X585" s="710"/>
      <c r="Y585" s="710"/>
      <c r="Z585" s="710"/>
      <c r="AA585" s="710"/>
      <c r="AB585" s="710"/>
      <c r="AC585" s="710"/>
      <c r="AD585" s="710"/>
      <c r="AE585" s="710"/>
      <c r="AF585" s="710"/>
      <c r="AG585" s="710"/>
      <c r="AH585" s="710"/>
      <c r="AI585" s="710"/>
      <c r="AJ585" s="710"/>
      <c r="AK585" s="710"/>
      <c r="AL585" s="710"/>
      <c r="AM585" s="710"/>
      <c r="AN585" s="710"/>
      <c r="AO585" s="710"/>
      <c r="AP585" s="710"/>
    </row>
    <row r="586" spans="2:42">
      <c r="B586" s="710"/>
      <c r="C586" s="710"/>
      <c r="D586" s="710"/>
      <c r="E586" s="710"/>
      <c r="F586" s="710"/>
      <c r="G586" s="710"/>
      <c r="H586" s="710"/>
      <c r="I586" s="710"/>
      <c r="J586" s="710"/>
      <c r="K586" s="710"/>
      <c r="L586" s="710"/>
      <c r="M586" s="710"/>
      <c r="N586" s="710"/>
      <c r="O586" s="710"/>
      <c r="P586" s="710"/>
      <c r="Q586" s="710"/>
      <c r="R586" s="710"/>
      <c r="S586" s="710"/>
      <c r="T586" s="710"/>
      <c r="U586" s="710"/>
      <c r="V586" s="710"/>
      <c r="W586" s="710"/>
      <c r="X586" s="710"/>
      <c r="Y586" s="710"/>
      <c r="Z586" s="710"/>
      <c r="AA586" s="710"/>
      <c r="AB586" s="710"/>
      <c r="AC586" s="710"/>
      <c r="AD586" s="710"/>
      <c r="AE586" s="710"/>
      <c r="AF586" s="710"/>
      <c r="AG586" s="710"/>
      <c r="AH586" s="710"/>
      <c r="AI586" s="710"/>
      <c r="AJ586" s="710"/>
      <c r="AK586" s="710"/>
      <c r="AL586" s="710"/>
      <c r="AM586" s="710"/>
      <c r="AN586" s="710"/>
      <c r="AO586" s="710"/>
      <c r="AP586" s="710"/>
    </row>
    <row r="587" spans="2:42">
      <c r="B587" s="710"/>
      <c r="C587" s="710"/>
      <c r="D587" s="710"/>
      <c r="E587" s="710"/>
      <c r="F587" s="710"/>
      <c r="G587" s="710"/>
      <c r="H587" s="710"/>
      <c r="I587" s="710"/>
      <c r="J587" s="710"/>
      <c r="K587" s="710"/>
      <c r="L587" s="710"/>
      <c r="M587" s="710"/>
      <c r="N587" s="710"/>
      <c r="O587" s="710"/>
      <c r="P587" s="710"/>
      <c r="Q587" s="710"/>
      <c r="R587" s="710"/>
      <c r="S587" s="710"/>
      <c r="T587" s="710"/>
      <c r="U587" s="710"/>
      <c r="V587" s="710"/>
      <c r="W587" s="710"/>
      <c r="X587" s="710"/>
      <c r="Y587" s="710"/>
      <c r="Z587" s="710"/>
      <c r="AA587" s="710"/>
      <c r="AB587" s="710"/>
      <c r="AC587" s="710"/>
      <c r="AD587" s="710"/>
      <c r="AE587" s="710"/>
      <c r="AF587" s="710"/>
      <c r="AG587" s="710"/>
      <c r="AH587" s="710"/>
      <c r="AI587" s="710"/>
      <c r="AJ587" s="710"/>
      <c r="AK587" s="710"/>
      <c r="AL587" s="710"/>
      <c r="AM587" s="710"/>
      <c r="AN587" s="710"/>
      <c r="AO587" s="710"/>
      <c r="AP587" s="710"/>
    </row>
    <row r="588" spans="2:42">
      <c r="B588" s="710"/>
      <c r="C588" s="710"/>
      <c r="D588" s="710"/>
      <c r="E588" s="710"/>
      <c r="F588" s="710"/>
      <c r="G588" s="710"/>
      <c r="H588" s="710"/>
      <c r="I588" s="710"/>
      <c r="J588" s="710"/>
      <c r="K588" s="710"/>
      <c r="L588" s="710"/>
      <c r="M588" s="710"/>
      <c r="N588" s="710"/>
      <c r="O588" s="710"/>
      <c r="P588" s="710"/>
      <c r="Q588" s="710"/>
      <c r="R588" s="710"/>
      <c r="S588" s="710"/>
      <c r="T588" s="710"/>
      <c r="U588" s="710"/>
      <c r="V588" s="710"/>
      <c r="W588" s="710"/>
      <c r="X588" s="710"/>
      <c r="Y588" s="710"/>
      <c r="Z588" s="710"/>
      <c r="AA588" s="710"/>
      <c r="AB588" s="710"/>
      <c r="AC588" s="710"/>
      <c r="AD588" s="710"/>
      <c r="AE588" s="710"/>
      <c r="AF588" s="710"/>
      <c r="AG588" s="710"/>
      <c r="AH588" s="710"/>
      <c r="AI588" s="710"/>
      <c r="AJ588" s="710"/>
      <c r="AK588" s="710"/>
      <c r="AL588" s="710"/>
      <c r="AM588" s="710"/>
      <c r="AN588" s="710"/>
      <c r="AO588" s="710"/>
      <c r="AP588" s="710"/>
    </row>
    <row r="589" spans="2:42">
      <c r="B589" s="710"/>
      <c r="C589" s="710"/>
      <c r="D589" s="710"/>
      <c r="E589" s="710"/>
      <c r="F589" s="710"/>
      <c r="G589" s="710"/>
      <c r="H589" s="710"/>
      <c r="I589" s="710"/>
      <c r="J589" s="710"/>
      <c r="K589" s="710"/>
      <c r="L589" s="710"/>
      <c r="M589" s="710"/>
      <c r="N589" s="710"/>
      <c r="O589" s="710"/>
      <c r="P589" s="710"/>
      <c r="Q589" s="710"/>
      <c r="R589" s="710"/>
      <c r="S589" s="710"/>
      <c r="T589" s="710"/>
      <c r="U589" s="710"/>
      <c r="V589" s="710"/>
      <c r="W589" s="710"/>
      <c r="X589" s="710"/>
      <c r="Y589" s="710"/>
      <c r="Z589" s="710"/>
      <c r="AA589" s="710"/>
      <c r="AB589" s="710"/>
      <c r="AC589" s="710"/>
      <c r="AD589" s="710"/>
      <c r="AE589" s="710"/>
      <c r="AF589" s="710"/>
      <c r="AG589" s="710"/>
      <c r="AH589" s="710"/>
      <c r="AI589" s="710"/>
      <c r="AJ589" s="710"/>
      <c r="AK589" s="710"/>
      <c r="AL589" s="710"/>
      <c r="AM589" s="710"/>
      <c r="AN589" s="710"/>
      <c r="AO589" s="710"/>
      <c r="AP589" s="710"/>
    </row>
    <row r="590" spans="2:42">
      <c r="B590" s="710"/>
      <c r="C590" s="710"/>
      <c r="D590" s="710"/>
      <c r="E590" s="710"/>
      <c r="F590" s="710"/>
      <c r="G590" s="710"/>
      <c r="H590" s="710"/>
      <c r="I590" s="710"/>
      <c r="J590" s="710"/>
      <c r="K590" s="710"/>
      <c r="L590" s="710"/>
      <c r="M590" s="710"/>
      <c r="N590" s="710"/>
      <c r="O590" s="710"/>
      <c r="P590" s="710"/>
      <c r="Q590" s="710"/>
      <c r="R590" s="710"/>
      <c r="S590" s="710"/>
      <c r="T590" s="710"/>
      <c r="U590" s="710"/>
      <c r="V590" s="710"/>
      <c r="W590" s="710"/>
      <c r="X590" s="710"/>
      <c r="Y590" s="710"/>
      <c r="Z590" s="710"/>
      <c r="AA590" s="710"/>
      <c r="AB590" s="710"/>
      <c r="AC590" s="710"/>
      <c r="AD590" s="710"/>
      <c r="AE590" s="710"/>
      <c r="AF590" s="710"/>
      <c r="AG590" s="710"/>
      <c r="AH590" s="710"/>
      <c r="AI590" s="710"/>
      <c r="AJ590" s="710"/>
      <c r="AK590" s="710"/>
      <c r="AL590" s="710"/>
      <c r="AM590" s="710"/>
      <c r="AN590" s="710"/>
      <c r="AO590" s="710"/>
      <c r="AP590" s="710"/>
    </row>
    <row r="591" spans="2:42">
      <c r="B591" s="710"/>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c r="AC591" s="710"/>
      <c r="AD591" s="710"/>
      <c r="AE591" s="710"/>
      <c r="AF591" s="710"/>
      <c r="AG591" s="710"/>
      <c r="AH591" s="710"/>
      <c r="AI591" s="710"/>
      <c r="AJ591" s="710"/>
      <c r="AK591" s="710"/>
      <c r="AL591" s="710"/>
      <c r="AM591" s="710"/>
      <c r="AN591" s="710"/>
      <c r="AO591" s="710"/>
      <c r="AP591" s="710"/>
    </row>
    <row r="592" spans="2:42">
      <c r="B592" s="710"/>
      <c r="C592" s="710"/>
      <c r="D592" s="710"/>
      <c r="E592" s="710"/>
      <c r="F592" s="710"/>
      <c r="G592" s="710"/>
      <c r="H592" s="710"/>
      <c r="I592" s="710"/>
      <c r="J592" s="710"/>
      <c r="K592" s="710"/>
      <c r="L592" s="710"/>
      <c r="M592" s="710"/>
      <c r="N592" s="710"/>
      <c r="O592" s="710"/>
      <c r="P592" s="710"/>
      <c r="Q592" s="710"/>
      <c r="R592" s="710"/>
      <c r="S592" s="710"/>
      <c r="T592" s="710"/>
      <c r="U592" s="710"/>
      <c r="V592" s="710"/>
      <c r="W592" s="710"/>
      <c r="X592" s="710"/>
      <c r="Y592" s="710"/>
      <c r="Z592" s="710"/>
      <c r="AA592" s="710"/>
      <c r="AB592" s="710"/>
      <c r="AC592" s="710"/>
      <c r="AD592" s="710"/>
      <c r="AE592" s="710"/>
      <c r="AF592" s="710"/>
      <c r="AG592" s="710"/>
      <c r="AH592" s="710"/>
      <c r="AI592" s="710"/>
      <c r="AJ592" s="710"/>
      <c r="AK592" s="710"/>
      <c r="AL592" s="710"/>
      <c r="AM592" s="710"/>
      <c r="AN592" s="710"/>
      <c r="AO592" s="710"/>
      <c r="AP592" s="710"/>
    </row>
    <row r="593" spans="2:42">
      <c r="B593" s="710"/>
      <c r="C593" s="710"/>
      <c r="D593" s="710"/>
      <c r="E593" s="710"/>
      <c r="F593" s="710"/>
      <c r="G593" s="710"/>
      <c r="H593" s="710"/>
      <c r="I593" s="710"/>
      <c r="J593" s="710"/>
      <c r="K593" s="710"/>
      <c r="L593" s="710"/>
      <c r="M593" s="710"/>
      <c r="N593" s="710"/>
      <c r="O593" s="710"/>
      <c r="P593" s="710"/>
      <c r="Q593" s="710"/>
      <c r="R593" s="710"/>
      <c r="S593" s="710"/>
      <c r="T593" s="710"/>
      <c r="U593" s="710"/>
      <c r="V593" s="710"/>
      <c r="W593" s="710"/>
      <c r="X593" s="710"/>
      <c r="Y593" s="710"/>
      <c r="Z593" s="710"/>
      <c r="AA593" s="710"/>
      <c r="AB593" s="710"/>
      <c r="AC593" s="710"/>
      <c r="AD593" s="710"/>
      <c r="AE593" s="710"/>
      <c r="AF593" s="710"/>
      <c r="AG593" s="710"/>
      <c r="AH593" s="710"/>
      <c r="AI593" s="710"/>
      <c r="AJ593" s="710"/>
      <c r="AK593" s="710"/>
      <c r="AL593" s="710"/>
      <c r="AM593" s="710"/>
      <c r="AN593" s="710"/>
      <c r="AO593" s="710"/>
      <c r="AP593" s="710"/>
    </row>
    <row r="594" spans="2:42">
      <c r="B594" s="710"/>
      <c r="C594" s="710"/>
      <c r="D594" s="710"/>
      <c r="E594" s="710"/>
      <c r="F594" s="710"/>
      <c r="G594" s="710"/>
      <c r="H594" s="710"/>
      <c r="I594" s="710"/>
      <c r="J594" s="710"/>
      <c r="K594" s="710"/>
      <c r="L594" s="710"/>
      <c r="M594" s="710"/>
      <c r="N594" s="710"/>
      <c r="O594" s="710"/>
      <c r="P594" s="710"/>
      <c r="Q594" s="710"/>
      <c r="R594" s="710"/>
      <c r="S594" s="710"/>
      <c r="T594" s="710"/>
      <c r="U594" s="710"/>
      <c r="V594" s="710"/>
      <c r="W594" s="710"/>
      <c r="X594" s="710"/>
      <c r="Y594" s="710"/>
      <c r="Z594" s="710"/>
      <c r="AA594" s="710"/>
      <c r="AB594" s="710"/>
      <c r="AC594" s="710"/>
      <c r="AD594" s="710"/>
      <c r="AE594" s="710"/>
      <c r="AF594" s="710"/>
      <c r="AG594" s="710"/>
      <c r="AH594" s="710"/>
      <c r="AI594" s="710"/>
      <c r="AJ594" s="710"/>
      <c r="AK594" s="710"/>
      <c r="AL594" s="710"/>
      <c r="AM594" s="710"/>
      <c r="AN594" s="710"/>
      <c r="AO594" s="710"/>
      <c r="AP594" s="710"/>
    </row>
    <row r="595" spans="2:42">
      <c r="B595" s="710"/>
      <c r="C595" s="710"/>
      <c r="D595" s="710"/>
      <c r="E595" s="710"/>
      <c r="F595" s="710"/>
      <c r="G595" s="710"/>
      <c r="H595" s="710"/>
      <c r="I595" s="710"/>
      <c r="J595" s="710"/>
      <c r="K595" s="710"/>
      <c r="L595" s="710"/>
      <c r="M595" s="710"/>
      <c r="N595" s="710"/>
      <c r="O595" s="710"/>
      <c r="P595" s="710"/>
      <c r="Q595" s="710"/>
      <c r="R595" s="710"/>
      <c r="S595" s="710"/>
      <c r="T595" s="710"/>
      <c r="U595" s="710"/>
      <c r="V595" s="710"/>
      <c r="W595" s="710"/>
      <c r="X595" s="710"/>
      <c r="Y595" s="710"/>
      <c r="Z595" s="710"/>
      <c r="AA595" s="710"/>
      <c r="AB595" s="710"/>
      <c r="AC595" s="710"/>
      <c r="AD595" s="710"/>
      <c r="AE595" s="710"/>
      <c r="AF595" s="710"/>
      <c r="AG595" s="710"/>
      <c r="AH595" s="710"/>
      <c r="AI595" s="710"/>
      <c r="AJ595" s="710"/>
      <c r="AK595" s="710"/>
      <c r="AL595" s="710"/>
      <c r="AM595" s="710"/>
      <c r="AN595" s="710"/>
      <c r="AO595" s="710"/>
      <c r="AP595" s="710"/>
    </row>
    <row r="596" spans="2:42">
      <c r="B596" s="710"/>
      <c r="C596" s="710"/>
      <c r="D596" s="710"/>
      <c r="E596" s="710"/>
      <c r="F596" s="710"/>
      <c r="G596" s="710"/>
      <c r="H596" s="710"/>
      <c r="I596" s="710"/>
      <c r="J596" s="710"/>
      <c r="K596" s="710"/>
      <c r="L596" s="710"/>
      <c r="M596" s="710"/>
      <c r="N596" s="710"/>
      <c r="O596" s="710"/>
      <c r="P596" s="710"/>
      <c r="Q596" s="710"/>
      <c r="R596" s="710"/>
      <c r="S596" s="710"/>
      <c r="T596" s="710"/>
      <c r="U596" s="710"/>
      <c r="V596" s="710"/>
      <c r="W596" s="710"/>
      <c r="X596" s="710"/>
      <c r="Y596" s="710"/>
      <c r="Z596" s="710"/>
      <c r="AA596" s="710"/>
      <c r="AB596" s="710"/>
      <c r="AC596" s="710"/>
      <c r="AD596" s="710"/>
      <c r="AE596" s="710"/>
      <c r="AF596" s="710"/>
      <c r="AG596" s="710"/>
      <c r="AH596" s="710"/>
      <c r="AI596" s="710"/>
      <c r="AJ596" s="710"/>
      <c r="AK596" s="710"/>
      <c r="AL596" s="710"/>
      <c r="AM596" s="710"/>
      <c r="AN596" s="710"/>
      <c r="AO596" s="710"/>
      <c r="AP596" s="710"/>
    </row>
    <row r="597" spans="2:42">
      <c r="B597" s="710"/>
      <c r="C597" s="710"/>
      <c r="D597" s="710"/>
      <c r="E597" s="710"/>
      <c r="F597" s="710"/>
      <c r="G597" s="710"/>
      <c r="H597" s="710"/>
      <c r="I597" s="710"/>
      <c r="J597" s="710"/>
      <c r="K597" s="710"/>
      <c r="L597" s="710"/>
      <c r="M597" s="710"/>
      <c r="N597" s="710"/>
      <c r="O597" s="710"/>
      <c r="P597" s="710"/>
      <c r="Q597" s="710"/>
      <c r="R597" s="710"/>
      <c r="S597" s="710"/>
      <c r="T597" s="710"/>
      <c r="U597" s="710"/>
      <c r="V597" s="710"/>
      <c r="W597" s="710"/>
      <c r="X597" s="710"/>
      <c r="Y597" s="710"/>
      <c r="Z597" s="710"/>
      <c r="AA597" s="710"/>
      <c r="AB597" s="710"/>
      <c r="AC597" s="710"/>
      <c r="AD597" s="710"/>
      <c r="AE597" s="710"/>
      <c r="AF597" s="710"/>
      <c r="AG597" s="710"/>
      <c r="AH597" s="710"/>
      <c r="AI597" s="710"/>
      <c r="AJ597" s="710"/>
      <c r="AK597" s="710"/>
      <c r="AL597" s="710"/>
      <c r="AM597" s="710"/>
      <c r="AN597" s="710"/>
      <c r="AO597" s="710"/>
      <c r="AP597" s="710"/>
    </row>
    <row r="598" spans="2:42">
      <c r="B598" s="710"/>
      <c r="C598" s="710"/>
      <c r="D598" s="710"/>
      <c r="E598" s="710"/>
      <c r="F598" s="710"/>
      <c r="G598" s="710"/>
      <c r="H598" s="710"/>
      <c r="I598" s="710"/>
      <c r="J598" s="710"/>
      <c r="K598" s="710"/>
      <c r="L598" s="710"/>
      <c r="M598" s="710"/>
      <c r="N598" s="710"/>
      <c r="O598" s="710"/>
      <c r="P598" s="710"/>
      <c r="Q598" s="710"/>
      <c r="R598" s="710"/>
      <c r="S598" s="710"/>
      <c r="T598" s="710"/>
      <c r="U598" s="710"/>
      <c r="V598" s="710"/>
      <c r="W598" s="710"/>
      <c r="X598" s="710"/>
      <c r="Y598" s="710"/>
      <c r="Z598" s="710"/>
      <c r="AA598" s="710"/>
      <c r="AB598" s="710"/>
      <c r="AC598" s="710"/>
      <c r="AD598" s="710"/>
      <c r="AE598" s="710"/>
      <c r="AF598" s="710"/>
      <c r="AG598" s="710"/>
      <c r="AH598" s="710"/>
      <c r="AI598" s="710"/>
      <c r="AJ598" s="710"/>
      <c r="AK598" s="710"/>
      <c r="AL598" s="710"/>
      <c r="AM598" s="710"/>
      <c r="AN598" s="710"/>
      <c r="AO598" s="710"/>
      <c r="AP598" s="710"/>
    </row>
    <row r="599" spans="2:42">
      <c r="B599" s="710"/>
      <c r="C599" s="710"/>
      <c r="D599" s="710"/>
      <c r="E599" s="710"/>
      <c r="F599" s="710"/>
      <c r="G599" s="710"/>
      <c r="H599" s="710"/>
      <c r="I599" s="710"/>
      <c r="J599" s="710"/>
      <c r="K599" s="710"/>
      <c r="L599" s="710"/>
      <c r="M599" s="710"/>
      <c r="N599" s="710"/>
      <c r="O599" s="710"/>
      <c r="P599" s="710"/>
      <c r="Q599" s="710"/>
      <c r="R599" s="710"/>
      <c r="S599" s="710"/>
      <c r="T599" s="710"/>
      <c r="U599" s="710"/>
      <c r="V599" s="710"/>
      <c r="W599" s="710"/>
      <c r="X599" s="710"/>
      <c r="Y599" s="710"/>
      <c r="Z599" s="710"/>
      <c r="AA599" s="710"/>
      <c r="AB599" s="710"/>
      <c r="AC599" s="710"/>
      <c r="AD599" s="710"/>
      <c r="AE599" s="710"/>
      <c r="AF599" s="710"/>
      <c r="AG599" s="710"/>
      <c r="AH599" s="710"/>
      <c r="AI599" s="710"/>
      <c r="AJ599" s="710"/>
      <c r="AK599" s="710"/>
      <c r="AL599" s="710"/>
      <c r="AM599" s="710"/>
      <c r="AN599" s="710"/>
      <c r="AO599" s="710"/>
      <c r="AP599" s="710"/>
    </row>
    <row r="600" spans="2:42">
      <c r="B600" s="710"/>
      <c r="C600" s="710"/>
      <c r="D600" s="710"/>
      <c r="E600" s="710"/>
      <c r="F600" s="710"/>
      <c r="G600" s="710"/>
      <c r="H600" s="710"/>
      <c r="I600" s="710"/>
      <c r="J600" s="710"/>
      <c r="K600" s="710"/>
      <c r="L600" s="710"/>
      <c r="M600" s="710"/>
      <c r="N600" s="710"/>
      <c r="O600" s="710"/>
      <c r="P600" s="710"/>
      <c r="Q600" s="710"/>
      <c r="R600" s="710"/>
      <c r="S600" s="710"/>
      <c r="T600" s="710"/>
      <c r="U600" s="710"/>
      <c r="V600" s="710"/>
      <c r="W600" s="710"/>
      <c r="X600" s="710"/>
      <c r="Y600" s="710"/>
      <c r="Z600" s="710"/>
      <c r="AA600" s="710"/>
      <c r="AB600" s="710"/>
      <c r="AC600" s="710"/>
      <c r="AD600" s="710"/>
      <c r="AE600" s="710"/>
      <c r="AF600" s="710"/>
      <c r="AG600" s="710"/>
      <c r="AH600" s="710"/>
      <c r="AI600" s="710"/>
      <c r="AJ600" s="710"/>
      <c r="AK600" s="710"/>
      <c r="AL600" s="710"/>
      <c r="AM600" s="710"/>
      <c r="AN600" s="710"/>
      <c r="AO600" s="710"/>
      <c r="AP600" s="710"/>
    </row>
    <row r="601" spans="2:42">
      <c r="B601" s="710"/>
      <c r="C601" s="710"/>
      <c r="D601" s="710"/>
      <c r="E601" s="710"/>
      <c r="F601" s="710"/>
      <c r="G601" s="710"/>
      <c r="H601" s="710"/>
      <c r="I601" s="710"/>
      <c r="J601" s="710"/>
      <c r="K601" s="710"/>
      <c r="L601" s="710"/>
      <c r="M601" s="710"/>
      <c r="N601" s="710"/>
      <c r="O601" s="710"/>
      <c r="P601" s="710"/>
      <c r="Q601" s="710"/>
      <c r="R601" s="710"/>
      <c r="S601" s="710"/>
      <c r="T601" s="710"/>
      <c r="U601" s="710"/>
      <c r="V601" s="710"/>
      <c r="W601" s="710"/>
      <c r="X601" s="710"/>
      <c r="Y601" s="710"/>
      <c r="Z601" s="710"/>
      <c r="AA601" s="710"/>
      <c r="AB601" s="710"/>
      <c r="AC601" s="710"/>
      <c r="AD601" s="710"/>
      <c r="AE601" s="710"/>
      <c r="AF601" s="710"/>
      <c r="AG601" s="710"/>
      <c r="AH601" s="710"/>
      <c r="AI601" s="710"/>
      <c r="AJ601" s="710"/>
      <c r="AK601" s="710"/>
      <c r="AL601" s="710"/>
      <c r="AM601" s="710"/>
      <c r="AN601" s="710"/>
      <c r="AO601" s="710"/>
      <c r="AP601" s="710"/>
    </row>
    <row r="602" spans="2:42">
      <c r="B602" s="710"/>
      <c r="C602" s="710"/>
      <c r="D602" s="710"/>
      <c r="E602" s="710"/>
      <c r="F602" s="710"/>
      <c r="G602" s="710"/>
      <c r="H602" s="710"/>
      <c r="I602" s="710"/>
      <c r="J602" s="710"/>
      <c r="K602" s="710"/>
      <c r="L602" s="710"/>
      <c r="M602" s="710"/>
      <c r="N602" s="710"/>
      <c r="O602" s="710"/>
      <c r="P602" s="710"/>
      <c r="Q602" s="710"/>
      <c r="R602" s="710"/>
      <c r="S602" s="710"/>
      <c r="T602" s="710"/>
      <c r="U602" s="710"/>
      <c r="V602" s="710"/>
      <c r="W602" s="710"/>
      <c r="X602" s="710"/>
      <c r="Y602" s="710"/>
      <c r="Z602" s="710"/>
      <c r="AA602" s="710"/>
      <c r="AB602" s="710"/>
      <c r="AC602" s="710"/>
      <c r="AD602" s="710"/>
      <c r="AE602" s="710"/>
      <c r="AF602" s="710"/>
      <c r="AG602" s="710"/>
      <c r="AH602" s="710"/>
      <c r="AI602" s="710"/>
      <c r="AJ602" s="710"/>
      <c r="AK602" s="710"/>
      <c r="AL602" s="710"/>
      <c r="AM602" s="710"/>
      <c r="AN602" s="710"/>
      <c r="AO602" s="710"/>
      <c r="AP602" s="710"/>
    </row>
    <row r="603" spans="2:42">
      <c r="B603" s="710"/>
      <c r="C603" s="710"/>
      <c r="D603" s="710"/>
      <c r="E603" s="710"/>
      <c r="F603" s="710"/>
      <c r="G603" s="710"/>
      <c r="H603" s="710"/>
      <c r="I603" s="710"/>
      <c r="J603" s="710"/>
      <c r="K603" s="710"/>
      <c r="L603" s="710"/>
      <c r="M603" s="710"/>
      <c r="N603" s="710"/>
      <c r="O603" s="710"/>
      <c r="P603" s="710"/>
      <c r="Q603" s="710"/>
      <c r="R603" s="710"/>
      <c r="S603" s="710"/>
      <c r="T603" s="710"/>
      <c r="U603" s="710"/>
      <c r="V603" s="710"/>
      <c r="W603" s="710"/>
      <c r="X603" s="710"/>
      <c r="Y603" s="710"/>
      <c r="Z603" s="710"/>
      <c r="AA603" s="710"/>
      <c r="AB603" s="710"/>
      <c r="AC603" s="710"/>
      <c r="AD603" s="710"/>
      <c r="AE603" s="710"/>
      <c r="AF603" s="710"/>
      <c r="AG603" s="710"/>
      <c r="AH603" s="710"/>
      <c r="AI603" s="710"/>
      <c r="AJ603" s="710"/>
      <c r="AK603" s="710"/>
      <c r="AL603" s="710"/>
      <c r="AM603" s="710"/>
      <c r="AN603" s="710"/>
      <c r="AO603" s="710"/>
      <c r="AP603" s="710"/>
    </row>
    <row r="604" spans="2:42">
      <c r="B604" s="710"/>
      <c r="C604" s="710"/>
      <c r="D604" s="710"/>
      <c r="E604" s="710"/>
      <c r="F604" s="710"/>
      <c r="G604" s="710"/>
      <c r="H604" s="710"/>
      <c r="I604" s="710"/>
      <c r="J604" s="710"/>
      <c r="K604" s="710"/>
      <c r="L604" s="710"/>
      <c r="M604" s="710"/>
      <c r="N604" s="710"/>
      <c r="O604" s="710"/>
      <c r="P604" s="710"/>
      <c r="Q604" s="710"/>
      <c r="R604" s="710"/>
      <c r="S604" s="710"/>
      <c r="T604" s="710"/>
      <c r="U604" s="710"/>
      <c r="V604" s="710"/>
      <c r="W604" s="710"/>
      <c r="X604" s="710"/>
      <c r="Y604" s="710"/>
      <c r="Z604" s="710"/>
      <c r="AA604" s="710"/>
      <c r="AB604" s="710"/>
      <c r="AC604" s="710"/>
      <c r="AD604" s="710"/>
      <c r="AE604" s="710"/>
      <c r="AF604" s="710"/>
      <c r="AG604" s="710"/>
      <c r="AH604" s="710"/>
      <c r="AI604" s="710"/>
      <c r="AJ604" s="710"/>
      <c r="AK604" s="710"/>
      <c r="AL604" s="710"/>
      <c r="AM604" s="710"/>
      <c r="AN604" s="710"/>
      <c r="AO604" s="710"/>
      <c r="AP604" s="710"/>
    </row>
    <row r="605" spans="2:42">
      <c r="B605" s="710"/>
      <c r="C605" s="710"/>
      <c r="D605" s="710"/>
      <c r="E605" s="710"/>
      <c r="F605" s="710"/>
      <c r="G605" s="710"/>
      <c r="H605" s="710"/>
      <c r="I605" s="710"/>
      <c r="J605" s="710"/>
      <c r="K605" s="710"/>
      <c r="L605" s="710"/>
      <c r="M605" s="710"/>
      <c r="N605" s="710"/>
      <c r="O605" s="710"/>
      <c r="P605" s="710"/>
      <c r="Q605" s="710"/>
      <c r="R605" s="710"/>
      <c r="S605" s="710"/>
      <c r="T605" s="710"/>
      <c r="U605" s="710"/>
      <c r="V605" s="710"/>
      <c r="W605" s="710"/>
      <c r="X605" s="710"/>
      <c r="Y605" s="710"/>
      <c r="Z605" s="710"/>
      <c r="AA605" s="710"/>
      <c r="AB605" s="710"/>
      <c r="AC605" s="710"/>
      <c r="AD605" s="710"/>
      <c r="AE605" s="710"/>
      <c r="AF605" s="710"/>
      <c r="AG605" s="710"/>
      <c r="AH605" s="710"/>
      <c r="AI605" s="710"/>
      <c r="AJ605" s="710"/>
      <c r="AK605" s="710"/>
      <c r="AL605" s="710"/>
      <c r="AM605" s="710"/>
      <c r="AN605" s="710"/>
      <c r="AO605" s="710"/>
      <c r="AP605" s="710"/>
    </row>
    <row r="606" spans="2:42">
      <c r="B606" s="710"/>
      <c r="C606" s="710"/>
      <c r="D606" s="710"/>
      <c r="E606" s="710"/>
      <c r="F606" s="710"/>
      <c r="G606" s="710"/>
      <c r="H606" s="710"/>
      <c r="I606" s="710"/>
      <c r="J606" s="710"/>
      <c r="K606" s="710"/>
      <c r="L606" s="710"/>
      <c r="M606" s="710"/>
      <c r="N606" s="710"/>
      <c r="O606" s="710"/>
      <c r="P606" s="710"/>
      <c r="Q606" s="710"/>
      <c r="R606" s="710"/>
      <c r="S606" s="710"/>
      <c r="T606" s="710"/>
      <c r="U606" s="710"/>
      <c r="V606" s="710"/>
      <c r="W606" s="710"/>
      <c r="X606" s="710"/>
      <c r="Y606" s="710"/>
      <c r="Z606" s="710"/>
      <c r="AA606" s="710"/>
      <c r="AB606" s="710"/>
      <c r="AC606" s="710"/>
      <c r="AD606" s="710"/>
      <c r="AE606" s="710"/>
      <c r="AF606" s="710"/>
      <c r="AG606" s="710"/>
      <c r="AH606" s="710"/>
      <c r="AI606" s="710"/>
      <c r="AJ606" s="710"/>
      <c r="AK606" s="710"/>
      <c r="AL606" s="710"/>
      <c r="AM606" s="710"/>
      <c r="AN606" s="710"/>
      <c r="AO606" s="710"/>
      <c r="AP606" s="710"/>
    </row>
    <row r="607" spans="2:42">
      <c r="B607" s="710"/>
      <c r="C607" s="710"/>
      <c r="D607" s="710"/>
      <c r="E607" s="710"/>
      <c r="F607" s="710"/>
      <c r="G607" s="710"/>
      <c r="H607" s="710"/>
      <c r="I607" s="710"/>
      <c r="J607" s="710"/>
      <c r="K607" s="710"/>
      <c r="L607" s="710"/>
      <c r="M607" s="710"/>
      <c r="N607" s="710"/>
      <c r="O607" s="710"/>
      <c r="P607" s="710"/>
      <c r="Q607" s="710"/>
      <c r="R607" s="710"/>
      <c r="S607" s="710"/>
      <c r="T607" s="710"/>
      <c r="U607" s="710"/>
      <c r="V607" s="710"/>
      <c r="W607" s="710"/>
      <c r="X607" s="710"/>
      <c r="Y607" s="710"/>
      <c r="Z607" s="710"/>
      <c r="AA607" s="710"/>
      <c r="AB607" s="710"/>
      <c r="AC607" s="710"/>
      <c r="AD607" s="710"/>
      <c r="AE607" s="710"/>
      <c r="AF607" s="710"/>
      <c r="AG607" s="710"/>
      <c r="AH607" s="710"/>
      <c r="AI607" s="710"/>
      <c r="AJ607" s="710"/>
      <c r="AK607" s="710"/>
      <c r="AL607" s="710"/>
      <c r="AM607" s="710"/>
      <c r="AN607" s="710"/>
      <c r="AO607" s="710"/>
      <c r="AP607" s="710"/>
    </row>
    <row r="608" spans="2:42">
      <c r="B608" s="710"/>
      <c r="C608" s="710"/>
      <c r="D608" s="710"/>
      <c r="E608" s="710"/>
      <c r="F608" s="710"/>
      <c r="G608" s="710"/>
      <c r="H608" s="710"/>
      <c r="I608" s="710"/>
      <c r="J608" s="710"/>
      <c r="K608" s="710"/>
      <c r="L608" s="710"/>
      <c r="M608" s="710"/>
      <c r="N608" s="710"/>
      <c r="O608" s="710"/>
      <c r="P608" s="710"/>
      <c r="Q608" s="710"/>
      <c r="R608" s="710"/>
      <c r="S608" s="710"/>
      <c r="T608" s="710"/>
      <c r="U608" s="710"/>
      <c r="V608" s="710"/>
      <c r="W608" s="710"/>
      <c r="X608" s="710"/>
      <c r="Y608" s="710"/>
      <c r="Z608" s="710"/>
      <c r="AA608" s="710"/>
      <c r="AB608" s="710"/>
      <c r="AC608" s="710"/>
      <c r="AD608" s="710"/>
      <c r="AE608" s="710"/>
      <c r="AF608" s="710"/>
      <c r="AG608" s="710"/>
      <c r="AH608" s="710"/>
      <c r="AI608" s="710"/>
      <c r="AJ608" s="710"/>
      <c r="AK608" s="710"/>
      <c r="AL608" s="710"/>
      <c r="AM608" s="710"/>
      <c r="AN608" s="710"/>
      <c r="AO608" s="710"/>
      <c r="AP608" s="710"/>
    </row>
    <row r="609" spans="2:42">
      <c r="B609" s="710"/>
      <c r="C609" s="710"/>
      <c r="D609" s="710"/>
      <c r="E609" s="710"/>
      <c r="F609" s="710"/>
      <c r="G609" s="710"/>
      <c r="H609" s="710"/>
      <c r="I609" s="710"/>
      <c r="J609" s="710"/>
      <c r="K609" s="710"/>
      <c r="L609" s="710"/>
      <c r="M609" s="710"/>
      <c r="N609" s="710"/>
      <c r="O609" s="710"/>
      <c r="P609" s="710"/>
      <c r="Q609" s="710"/>
      <c r="R609" s="710"/>
      <c r="S609" s="710"/>
      <c r="T609" s="710"/>
      <c r="U609" s="710"/>
      <c r="V609" s="710"/>
      <c r="W609" s="710"/>
      <c r="X609" s="710"/>
      <c r="Y609" s="710"/>
      <c r="Z609" s="710"/>
      <c r="AA609" s="710"/>
      <c r="AB609" s="710"/>
      <c r="AC609" s="710"/>
      <c r="AD609" s="710"/>
      <c r="AE609" s="710"/>
      <c r="AF609" s="710"/>
      <c r="AG609" s="710"/>
      <c r="AH609" s="710"/>
      <c r="AI609" s="710"/>
      <c r="AJ609" s="710"/>
      <c r="AK609" s="710"/>
      <c r="AL609" s="710"/>
      <c r="AM609" s="710"/>
      <c r="AN609" s="710"/>
      <c r="AO609" s="710"/>
      <c r="AP609" s="710"/>
    </row>
    <row r="610" spans="2:42">
      <c r="B610" s="710"/>
      <c r="C610" s="710"/>
      <c r="D610" s="710"/>
      <c r="E610" s="710"/>
      <c r="F610" s="710"/>
      <c r="G610" s="710"/>
      <c r="H610" s="710"/>
      <c r="I610" s="710"/>
      <c r="J610" s="710"/>
      <c r="K610" s="710"/>
      <c r="L610" s="710"/>
      <c r="M610" s="710"/>
      <c r="N610" s="710"/>
      <c r="O610" s="710"/>
      <c r="P610" s="710"/>
      <c r="Q610" s="710"/>
      <c r="R610" s="710"/>
      <c r="S610" s="710"/>
      <c r="T610" s="710"/>
      <c r="U610" s="710"/>
      <c r="V610" s="710"/>
      <c r="W610" s="710"/>
      <c r="X610" s="710"/>
      <c r="Y610" s="710"/>
      <c r="Z610" s="710"/>
      <c r="AA610" s="710"/>
      <c r="AB610" s="710"/>
      <c r="AC610" s="710"/>
      <c r="AD610" s="710"/>
      <c r="AE610" s="710"/>
      <c r="AF610" s="710"/>
      <c r="AG610" s="710"/>
      <c r="AH610" s="710"/>
      <c r="AI610" s="710"/>
      <c r="AJ610" s="710"/>
      <c r="AK610" s="710"/>
      <c r="AL610" s="710"/>
      <c r="AM610" s="710"/>
      <c r="AN610" s="710"/>
      <c r="AO610" s="710"/>
      <c r="AP610" s="710"/>
    </row>
    <row r="611" spans="2:42">
      <c r="B611" s="710"/>
      <c r="C611" s="710"/>
      <c r="D611" s="710"/>
      <c r="E611" s="710"/>
      <c r="F611" s="710"/>
      <c r="G611" s="710"/>
      <c r="H611" s="710"/>
      <c r="I611" s="710"/>
      <c r="J611" s="710"/>
      <c r="K611" s="710"/>
      <c r="L611" s="710"/>
      <c r="M611" s="710"/>
      <c r="N611" s="710"/>
      <c r="O611" s="710"/>
      <c r="P611" s="710"/>
      <c r="Q611" s="710"/>
      <c r="R611" s="710"/>
      <c r="S611" s="710"/>
      <c r="T611" s="710"/>
      <c r="U611" s="710"/>
      <c r="V611" s="710"/>
      <c r="W611" s="710"/>
      <c r="X611" s="710"/>
      <c r="Y611" s="710"/>
      <c r="Z611" s="710"/>
      <c r="AA611" s="710"/>
      <c r="AB611" s="710"/>
      <c r="AC611" s="710"/>
      <c r="AD611" s="710"/>
      <c r="AE611" s="710"/>
      <c r="AF611" s="710"/>
      <c r="AG611" s="710"/>
      <c r="AH611" s="710"/>
      <c r="AI611" s="710"/>
      <c r="AJ611" s="710"/>
      <c r="AK611" s="710"/>
      <c r="AL611" s="710"/>
      <c r="AM611" s="710"/>
      <c r="AN611" s="710"/>
      <c r="AO611" s="710"/>
      <c r="AP611" s="710"/>
    </row>
    <row r="612" spans="2:42">
      <c r="B612" s="710"/>
      <c r="C612" s="710"/>
      <c r="D612" s="710"/>
      <c r="E612" s="710"/>
      <c r="F612" s="710"/>
      <c r="G612" s="710"/>
      <c r="H612" s="710"/>
      <c r="I612" s="710"/>
      <c r="J612" s="710"/>
      <c r="K612" s="710"/>
      <c r="L612" s="710"/>
      <c r="M612" s="710"/>
      <c r="N612" s="710"/>
      <c r="O612" s="710"/>
      <c r="P612" s="710"/>
      <c r="Q612" s="710"/>
      <c r="R612" s="710"/>
      <c r="S612" s="710"/>
      <c r="T612" s="710"/>
      <c r="U612" s="710"/>
      <c r="V612" s="710"/>
      <c r="W612" s="710"/>
      <c r="X612" s="710"/>
      <c r="Y612" s="710"/>
      <c r="Z612" s="710"/>
      <c r="AA612" s="710"/>
      <c r="AB612" s="710"/>
      <c r="AC612" s="710"/>
      <c r="AD612" s="710"/>
      <c r="AE612" s="710"/>
      <c r="AF612" s="710"/>
      <c r="AG612" s="710"/>
      <c r="AH612" s="710"/>
      <c r="AI612" s="710"/>
      <c r="AJ612" s="710"/>
      <c r="AK612" s="710"/>
      <c r="AL612" s="710"/>
      <c r="AM612" s="710"/>
      <c r="AN612" s="710"/>
      <c r="AO612" s="710"/>
      <c r="AP612" s="710"/>
    </row>
    <row r="613" spans="2:42">
      <c r="B613" s="710"/>
      <c r="C613" s="710"/>
      <c r="D613" s="710"/>
      <c r="E613" s="710"/>
      <c r="F613" s="710"/>
      <c r="G613" s="710"/>
      <c r="H613" s="710"/>
      <c r="I613" s="710"/>
      <c r="J613" s="710"/>
      <c r="K613" s="710"/>
      <c r="L613" s="710"/>
      <c r="M613" s="710"/>
      <c r="N613" s="710"/>
      <c r="O613" s="710"/>
      <c r="P613" s="710"/>
      <c r="Q613" s="710"/>
      <c r="R613" s="710"/>
      <c r="S613" s="710"/>
      <c r="T613" s="710"/>
      <c r="U613" s="710"/>
      <c r="V613" s="710"/>
      <c r="W613" s="710"/>
      <c r="X613" s="710"/>
      <c r="Y613" s="710"/>
      <c r="Z613" s="710"/>
      <c r="AA613" s="710"/>
      <c r="AB613" s="710"/>
      <c r="AC613" s="710"/>
      <c r="AD613" s="710"/>
      <c r="AE613" s="710"/>
      <c r="AF613" s="710"/>
      <c r="AG613" s="710"/>
      <c r="AH613" s="710"/>
      <c r="AI613" s="710"/>
      <c r="AJ613" s="710"/>
      <c r="AK613" s="710"/>
      <c r="AL613" s="710"/>
      <c r="AM613" s="710"/>
      <c r="AN613" s="710"/>
      <c r="AO613" s="710"/>
      <c r="AP613" s="710"/>
    </row>
    <row r="614" spans="2:42">
      <c r="B614" s="710"/>
      <c r="C614" s="710"/>
      <c r="D614" s="710"/>
      <c r="E614" s="710"/>
      <c r="F614" s="710"/>
      <c r="G614" s="710"/>
      <c r="H614" s="710"/>
      <c r="I614" s="710"/>
      <c r="J614" s="710"/>
      <c r="K614" s="710"/>
      <c r="L614" s="710"/>
      <c r="M614" s="710"/>
      <c r="N614" s="710"/>
      <c r="O614" s="710"/>
      <c r="P614" s="710"/>
      <c r="Q614" s="710"/>
      <c r="R614" s="710"/>
      <c r="S614" s="710"/>
      <c r="T614" s="710"/>
      <c r="U614" s="710"/>
      <c r="V614" s="710"/>
      <c r="W614" s="710"/>
      <c r="X614" s="710"/>
      <c r="Y614" s="710"/>
      <c r="Z614" s="710"/>
      <c r="AA614" s="710"/>
      <c r="AB614" s="710"/>
      <c r="AC614" s="710"/>
      <c r="AD614" s="710"/>
      <c r="AE614" s="710"/>
      <c r="AF614" s="710"/>
      <c r="AG614" s="710"/>
      <c r="AH614" s="710"/>
      <c r="AI614" s="710"/>
      <c r="AJ614" s="710"/>
      <c r="AK614" s="710"/>
      <c r="AL614" s="710"/>
      <c r="AM614" s="710"/>
      <c r="AN614" s="710"/>
      <c r="AO614" s="710"/>
      <c r="AP614" s="710"/>
    </row>
    <row r="615" spans="2:42">
      <c r="B615" s="710"/>
      <c r="C615" s="710"/>
      <c r="D615" s="710"/>
      <c r="E615" s="710"/>
      <c r="F615" s="710"/>
      <c r="G615" s="710"/>
      <c r="H615" s="710"/>
      <c r="I615" s="710"/>
      <c r="J615" s="710"/>
      <c r="K615" s="710"/>
      <c r="L615" s="710"/>
      <c r="M615" s="710"/>
      <c r="N615" s="710"/>
      <c r="O615" s="710"/>
      <c r="P615" s="710"/>
      <c r="Q615" s="710"/>
      <c r="R615" s="710"/>
      <c r="S615" s="710"/>
      <c r="T615" s="710"/>
      <c r="U615" s="710"/>
      <c r="V615" s="710"/>
      <c r="W615" s="710"/>
      <c r="X615" s="710"/>
      <c r="Y615" s="710"/>
      <c r="Z615" s="710"/>
      <c r="AA615" s="710"/>
      <c r="AB615" s="710"/>
      <c r="AC615" s="710"/>
      <c r="AD615" s="710"/>
      <c r="AE615" s="710"/>
      <c r="AF615" s="710"/>
      <c r="AG615" s="710"/>
      <c r="AH615" s="710"/>
      <c r="AI615" s="710"/>
      <c r="AJ615" s="710"/>
      <c r="AK615" s="710"/>
      <c r="AL615" s="710"/>
      <c r="AM615" s="710"/>
      <c r="AN615" s="710"/>
      <c r="AO615" s="710"/>
      <c r="AP615" s="710"/>
    </row>
    <row r="616" spans="2:42">
      <c r="B616" s="710"/>
      <c r="C616" s="710"/>
      <c r="D616" s="710"/>
      <c r="E616" s="710"/>
      <c r="F616" s="710"/>
      <c r="G616" s="710"/>
      <c r="H616" s="710"/>
      <c r="I616" s="710"/>
      <c r="J616" s="710"/>
      <c r="K616" s="710"/>
      <c r="L616" s="710"/>
      <c r="M616" s="710"/>
      <c r="N616" s="710"/>
      <c r="O616" s="710"/>
      <c r="P616" s="710"/>
      <c r="Q616" s="710"/>
      <c r="R616" s="710"/>
      <c r="S616" s="710"/>
      <c r="T616" s="710"/>
      <c r="U616" s="710"/>
      <c r="V616" s="710"/>
      <c r="W616" s="710"/>
      <c r="X616" s="710"/>
      <c r="Y616" s="710"/>
      <c r="Z616" s="710"/>
      <c r="AA616" s="710"/>
      <c r="AB616" s="710"/>
      <c r="AC616" s="710"/>
      <c r="AD616" s="710"/>
      <c r="AE616" s="710"/>
      <c r="AF616" s="710"/>
      <c r="AG616" s="710"/>
      <c r="AH616" s="710"/>
      <c r="AI616" s="710"/>
      <c r="AJ616" s="710"/>
      <c r="AK616" s="710"/>
      <c r="AL616" s="710"/>
      <c r="AM616" s="710"/>
      <c r="AN616" s="710"/>
      <c r="AO616" s="710"/>
      <c r="AP616" s="710"/>
    </row>
    <row r="617" spans="2:42">
      <c r="B617" s="710"/>
      <c r="C617" s="710"/>
      <c r="D617" s="710"/>
      <c r="E617" s="710"/>
      <c r="F617" s="710"/>
      <c r="G617" s="710"/>
      <c r="H617" s="710"/>
      <c r="I617" s="710"/>
      <c r="J617" s="710"/>
      <c r="K617" s="710"/>
      <c r="L617" s="710"/>
      <c r="M617" s="710"/>
      <c r="N617" s="710"/>
      <c r="O617" s="710"/>
      <c r="P617" s="710"/>
      <c r="Q617" s="710"/>
      <c r="R617" s="710"/>
      <c r="S617" s="710"/>
      <c r="T617" s="710"/>
      <c r="U617" s="710"/>
      <c r="V617" s="710"/>
      <c r="W617" s="710"/>
      <c r="X617" s="710"/>
      <c r="Y617" s="710"/>
      <c r="Z617" s="710"/>
      <c r="AA617" s="710"/>
      <c r="AB617" s="710"/>
      <c r="AC617" s="710"/>
      <c r="AD617" s="710"/>
      <c r="AE617" s="710"/>
      <c r="AF617" s="710"/>
      <c r="AG617" s="710"/>
      <c r="AH617" s="710"/>
      <c r="AI617" s="710"/>
      <c r="AJ617" s="710"/>
      <c r="AK617" s="710"/>
      <c r="AL617" s="710"/>
      <c r="AM617" s="710"/>
      <c r="AN617" s="710"/>
      <c r="AO617" s="710"/>
      <c r="AP617" s="710"/>
    </row>
    <row r="618" spans="2:42">
      <c r="B618" s="710"/>
      <c r="C618" s="710"/>
      <c r="D618" s="710"/>
      <c r="E618" s="710"/>
      <c r="F618" s="710"/>
      <c r="G618" s="710"/>
      <c r="H618" s="710"/>
      <c r="I618" s="710"/>
      <c r="J618" s="710"/>
      <c r="K618" s="710"/>
      <c r="L618" s="710"/>
      <c r="M618" s="710"/>
      <c r="N618" s="710"/>
      <c r="O618" s="710"/>
      <c r="P618" s="710"/>
      <c r="Q618" s="710"/>
      <c r="R618" s="710"/>
      <c r="S618" s="710"/>
      <c r="T618" s="710"/>
      <c r="U618" s="710"/>
      <c r="V618" s="710"/>
      <c r="W618" s="710"/>
      <c r="X618" s="710"/>
      <c r="Y618" s="710"/>
      <c r="Z618" s="710"/>
      <c r="AA618" s="710"/>
      <c r="AB618" s="710"/>
      <c r="AC618" s="710"/>
      <c r="AD618" s="710"/>
      <c r="AE618" s="710"/>
      <c r="AF618" s="710"/>
      <c r="AG618" s="710"/>
      <c r="AH618" s="710"/>
      <c r="AI618" s="710"/>
      <c r="AJ618" s="710"/>
      <c r="AK618" s="710"/>
      <c r="AL618" s="710"/>
      <c r="AM618" s="710"/>
      <c r="AN618" s="710"/>
      <c r="AO618" s="710"/>
      <c r="AP618" s="710"/>
    </row>
    <row r="619" spans="2:42">
      <c r="B619" s="710"/>
      <c r="C619" s="710"/>
      <c r="D619" s="710"/>
      <c r="E619" s="710"/>
      <c r="F619" s="710"/>
      <c r="G619" s="710"/>
      <c r="H619" s="710"/>
      <c r="I619" s="710"/>
      <c r="J619" s="710"/>
      <c r="K619" s="710"/>
      <c r="L619" s="710"/>
      <c r="M619" s="710"/>
      <c r="N619" s="710"/>
      <c r="O619" s="710"/>
      <c r="P619" s="710"/>
      <c r="Q619" s="710"/>
      <c r="R619" s="710"/>
      <c r="S619" s="710"/>
      <c r="T619" s="710"/>
      <c r="U619" s="710"/>
      <c r="V619" s="710"/>
      <c r="W619" s="710"/>
      <c r="X619" s="710"/>
      <c r="Y619" s="710"/>
      <c r="Z619" s="710"/>
      <c r="AA619" s="710"/>
      <c r="AB619" s="710"/>
      <c r="AC619" s="710"/>
      <c r="AD619" s="710"/>
      <c r="AE619" s="710"/>
      <c r="AF619" s="710"/>
      <c r="AG619" s="710"/>
      <c r="AH619" s="710"/>
      <c r="AI619" s="710"/>
      <c r="AJ619" s="710"/>
      <c r="AK619" s="710"/>
      <c r="AL619" s="710"/>
      <c r="AM619" s="710"/>
      <c r="AN619" s="710"/>
      <c r="AO619" s="710"/>
      <c r="AP619" s="710"/>
    </row>
    <row r="620" spans="2:42">
      <c r="B620" s="710"/>
      <c r="C620" s="710"/>
      <c r="D620" s="710"/>
      <c r="E620" s="710"/>
      <c r="F620" s="710"/>
      <c r="G620" s="710"/>
      <c r="H620" s="710"/>
      <c r="I620" s="710"/>
      <c r="J620" s="710"/>
      <c r="K620" s="710"/>
      <c r="L620" s="710"/>
      <c r="M620" s="710"/>
      <c r="N620" s="710"/>
      <c r="O620" s="710"/>
      <c r="P620" s="710"/>
      <c r="Q620" s="710"/>
      <c r="R620" s="710"/>
      <c r="S620" s="710"/>
      <c r="T620" s="710"/>
      <c r="U620" s="710"/>
      <c r="V620" s="710"/>
      <c r="W620" s="710"/>
      <c r="X620" s="710"/>
      <c r="Y620" s="710"/>
      <c r="Z620" s="710"/>
      <c r="AA620" s="710"/>
      <c r="AB620" s="710"/>
      <c r="AC620" s="710"/>
      <c r="AD620" s="710"/>
      <c r="AE620" s="710"/>
      <c r="AF620" s="710"/>
      <c r="AG620" s="710"/>
      <c r="AH620" s="710"/>
      <c r="AI620" s="710"/>
      <c r="AJ620" s="710"/>
      <c r="AK620" s="710"/>
      <c r="AL620" s="710"/>
      <c r="AM620" s="710"/>
      <c r="AN620" s="710"/>
      <c r="AO620" s="710"/>
      <c r="AP620" s="710"/>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theme="0"/>
  </sheetPr>
  <dimension ref="A1:AP1048556"/>
  <sheetViews>
    <sheetView zoomScaleNormal="100" workbookViewId="0">
      <pane ySplit="6" topLeftCell="A68" activePane="bottomLeft" state="frozen"/>
      <selection pane="bottomLeft" activeCell="B1" sqref="B1"/>
    </sheetView>
  </sheetViews>
  <sheetFormatPr defaultColWidth="9.1328125" defaultRowHeight="14.25"/>
  <cols>
    <col min="1" max="1" width="8.1328125" style="702" customWidth="1"/>
    <col min="2" max="2" width="12.1328125" style="549" bestFit="1" customWidth="1"/>
    <col min="3" max="3" width="15" style="549" bestFit="1" customWidth="1"/>
    <col min="4" max="5" width="15.86328125" style="549" bestFit="1" customWidth="1"/>
    <col min="6" max="6" width="17.3984375" style="549" bestFit="1" customWidth="1"/>
    <col min="7" max="7" width="2" style="549" bestFit="1" customWidth="1"/>
    <col min="8" max="8" width="12.1328125" style="549" bestFit="1" customWidth="1"/>
    <col min="9" max="9" width="15" style="549" bestFit="1" customWidth="1"/>
    <col min="10" max="11" width="15.86328125" style="549" bestFit="1" customWidth="1"/>
    <col min="12" max="12" width="17.3984375" style="549" bestFit="1" customWidth="1"/>
    <col min="13" max="13" width="3.73046875" style="549" customWidth="1"/>
    <col min="14" max="14" width="12.1328125" style="549" bestFit="1" customWidth="1"/>
    <col min="15" max="15" width="15" style="549" bestFit="1" customWidth="1"/>
    <col min="16" max="17" width="15.86328125" style="549" bestFit="1" customWidth="1"/>
    <col min="18" max="18" width="17.3984375" style="549" bestFit="1" customWidth="1"/>
    <col min="19" max="16384" width="9.1328125" style="549"/>
  </cols>
  <sheetData>
    <row r="1" spans="1:18">
      <c r="A1" s="524" t="str">
        <f>IF(språk=lista[[#Headers],[Svenska]],"Innehåll",IF(språk=lista[[#Headers],[English]],"Contents","FEL"))</f>
        <v>Contents</v>
      </c>
    </row>
    <row r="3" spans="1:18">
      <c r="A3" s="708" t="str">
        <f>IFERROR(INDEX(lista[],MATCH($A4,lista[ID],0),MATCH(språk,lista[#Headers],0)),"")</f>
        <v>Electricity price for business, taxes and network price not included, from april 2004, nominal prices, öre/kWh</v>
      </c>
    </row>
    <row r="4" spans="1:18" hidden="1">
      <c r="A4" s="702">
        <v>46</v>
      </c>
      <c r="B4" s="549" t="s">
        <v>647</v>
      </c>
      <c r="C4" s="549" t="s">
        <v>648</v>
      </c>
      <c r="D4" s="549" t="s">
        <v>649</v>
      </c>
      <c r="E4" s="549" t="s">
        <v>650</v>
      </c>
      <c r="F4" s="549" t="s">
        <v>651</v>
      </c>
      <c r="G4" s="549" t="s">
        <v>652</v>
      </c>
      <c r="H4" s="549" t="s">
        <v>653</v>
      </c>
      <c r="I4" s="549" t="s">
        <v>654</v>
      </c>
    </row>
    <row r="5" spans="1:18" s="702" customFormat="1">
      <c r="A5" s="699"/>
      <c r="B5" s="1065" t="str">
        <f>IFERROR(INDEX(_6.12[],MATCH(språk,_6.12[[id]:[id]],0),MATCH(G$4,_6.12[#Headers],0)),"")</f>
        <v>Agriculture and forestry</v>
      </c>
      <c r="C5" s="1065"/>
      <c r="D5" s="1065"/>
      <c r="E5" s="1065"/>
      <c r="F5" s="1065"/>
      <c r="G5" s="699"/>
      <c r="H5" s="1065" t="str">
        <f>IFERROR(INDEX(_6.12[],MATCH(språk,_6.12[[id]:[id]],0),MATCH(H$4,_6.12[#Headers],0)),"")</f>
        <v>Business</v>
      </c>
      <c r="I5" s="1065"/>
      <c r="J5" s="1065"/>
      <c r="K5" s="1065"/>
      <c r="L5" s="1065"/>
      <c r="M5" s="699"/>
      <c r="N5" s="1065" t="str">
        <f>IFERROR(INDEX(_6.12[],MATCH(språk,_6.12[[id]:[id]],0),MATCH(I$4,_6.12[#Headers],0)),"")</f>
        <v>Small industries</v>
      </c>
      <c r="O5" s="1065"/>
      <c r="P5" s="1065"/>
      <c r="Q5" s="1065"/>
      <c r="R5" s="1065"/>
    </row>
    <row r="6" spans="1:18">
      <c r="A6" s="713"/>
      <c r="B6" s="714" t="str">
        <f>IFERROR(INDEX(_6.12[],MATCH(språk,_6.12[[id]:[id]],0),MATCH(B$4,_6.12[#Headers],0)),"")</f>
        <v>Variable price</v>
      </c>
      <c r="C6" s="714" t="str">
        <f>IFERROR(INDEX(_6.12[],MATCH(språk,_6.12[[id]:[id]],0),MATCH(C$4,_6.12[#Headers],0)),"")</f>
        <v>Fixed price 1 year</v>
      </c>
      <c r="D6" s="714" t="str">
        <f>IFERROR(INDEX(_6.12[],MATCH(språk,_6.12[[id]:[id]],0),MATCH(D$4,_6.12[#Headers],0)),"")</f>
        <v>Fixed price 2 years</v>
      </c>
      <c r="E6" s="714" t="str">
        <f>IFERROR(INDEX(_6.12[],MATCH(språk,_6.12[[id]:[id]],0),MATCH(E$4,_6.12[#Headers],0)),"")</f>
        <v>Fixed price 3 years</v>
      </c>
      <c r="F6" s="714" t="str">
        <f>IFERROR(INDEX(_6.12[],MATCH(språk,_6.12[[id]:[id]],0),MATCH(F$4,_6.12[#Headers],0)),"")</f>
        <v xml:space="preserve">Designated contract </v>
      </c>
      <c r="G6" s="714"/>
      <c r="H6" s="714" t="str">
        <f>IFERROR(INDEX(_6.12[],MATCH(språk,_6.12[[id]:[id]],0),MATCH(B$4,_6.12[#Headers],0)),"")</f>
        <v>Variable price</v>
      </c>
      <c r="I6" s="714" t="str">
        <f>IFERROR(INDEX(_6.12[],MATCH(språk,_6.12[[id]:[id]],0),MATCH(C$4,_6.12[#Headers],0)),"")</f>
        <v>Fixed price 1 year</v>
      </c>
      <c r="J6" s="714" t="str">
        <f>IFERROR(INDEX(_6.12[],MATCH(språk,_6.12[[id]:[id]],0),MATCH(D$4,_6.12[#Headers],0)),"")</f>
        <v>Fixed price 2 years</v>
      </c>
      <c r="K6" s="714" t="str">
        <f>IFERROR(INDEX(_6.12[],MATCH(språk,_6.12[[id]:[id]],0),MATCH(E$4,_6.12[#Headers],0)),"")</f>
        <v>Fixed price 3 years</v>
      </c>
      <c r="L6" s="714" t="str">
        <f>IFERROR(INDEX(_6.12[],MATCH(språk,_6.12[[id]:[id]],0),MATCH(F$4,_6.12[#Headers],0)),"")</f>
        <v xml:space="preserve">Designated contract </v>
      </c>
      <c r="M6" s="714"/>
      <c r="N6" s="714" t="str">
        <f>IFERROR(INDEX(_6.12[],MATCH(språk,_6.12[[id]:[id]],0),MATCH(B$4,_6.12[#Headers],0)),"")</f>
        <v>Variable price</v>
      </c>
      <c r="O6" s="714" t="str">
        <f>IFERROR(INDEX(_6.12[],MATCH(språk,_6.12[[id]:[id]],0),MATCH(C$4,_6.12[#Headers],0)),"")</f>
        <v>Fixed price 1 year</v>
      </c>
      <c r="P6" s="714" t="str">
        <f>IFERROR(INDEX(_6.12[],MATCH(språk,_6.12[[id]:[id]],0),MATCH(D$4,_6.12[#Headers],0)),"")</f>
        <v>Fixed price 2 years</v>
      </c>
      <c r="Q6" s="714" t="str">
        <f>IFERROR(INDEX(_6.12[],MATCH(språk,_6.12[[id]:[id]],0),MATCH(E$4,_6.12[#Headers],0)),"")</f>
        <v>Fixed price 3 years</v>
      </c>
      <c r="R6" s="714" t="str">
        <f>IFERROR(INDEX(_6.12[],MATCH(språk,_6.12[[id]:[id]],0),MATCH(F$4,_6.12[#Headers],0)),"")</f>
        <v xml:space="preserve">Designated contract </v>
      </c>
    </row>
    <row r="7" spans="1:18">
      <c r="A7" s="936">
        <v>38078</v>
      </c>
      <c r="B7" s="800">
        <v>30.40433333333333</v>
      </c>
      <c r="C7" s="800">
        <v>33.396666666666661</v>
      </c>
      <c r="D7" s="800">
        <v>32.823448275862063</v>
      </c>
      <c r="E7" s="800">
        <v>32.706722222222226</v>
      </c>
      <c r="F7" s="800">
        <v>41.264301075268818</v>
      </c>
      <c r="G7" s="715"/>
      <c r="H7" s="800">
        <v>29.090315789473678</v>
      </c>
      <c r="I7" s="800">
        <v>32.705680851063825</v>
      </c>
      <c r="J7" s="800">
        <v>32.135318181818178</v>
      </c>
      <c r="K7" s="800">
        <v>31.972326086956517</v>
      </c>
      <c r="L7" s="800">
        <v>40.746528301886798</v>
      </c>
      <c r="M7" s="715"/>
      <c r="N7" s="800">
        <v>28.477935483870965</v>
      </c>
      <c r="O7" s="800">
        <v>32.090721804511283</v>
      </c>
      <c r="P7" s="800">
        <v>31.534193050193053</v>
      </c>
      <c r="Q7" s="800">
        <v>31.393173745173737</v>
      </c>
      <c r="R7" s="800">
        <v>40.299831168831183</v>
      </c>
    </row>
    <row r="8" spans="1:18">
      <c r="A8" s="935">
        <v>38108</v>
      </c>
      <c r="B8" s="138">
        <v>29.015891472868223</v>
      </c>
      <c r="C8" s="138">
        <v>33.809062500000003</v>
      </c>
      <c r="D8" s="138">
        <v>33.22</v>
      </c>
      <c r="E8" s="138">
        <v>32.993333333333332</v>
      </c>
      <c r="F8" s="138">
        <v>38.996414141414157</v>
      </c>
      <c r="G8" s="145"/>
      <c r="H8" s="138">
        <v>28.122</v>
      </c>
      <c r="I8" s="138">
        <v>33.139500000000005</v>
      </c>
      <c r="J8" s="138">
        <v>32.52556862745098</v>
      </c>
      <c r="K8" s="138">
        <v>32.348352941176472</v>
      </c>
      <c r="L8" s="138">
        <v>38.628362068965522</v>
      </c>
      <c r="M8" s="145"/>
      <c r="N8" s="138">
        <v>27.728168067226889</v>
      </c>
      <c r="O8" s="138">
        <v>32.37236734693878</v>
      </c>
      <c r="P8" s="138">
        <v>31.779498257839723</v>
      </c>
      <c r="Q8" s="138">
        <v>31.618200000000002</v>
      </c>
      <c r="R8" s="138">
        <v>38.063587301587305</v>
      </c>
    </row>
    <row r="9" spans="1:18">
      <c r="A9" s="934">
        <v>38139</v>
      </c>
      <c r="B9" s="798">
        <v>33.200000000000003</v>
      </c>
      <c r="C9" s="798">
        <v>35.200000000000003</v>
      </c>
      <c r="D9" s="798">
        <v>34.299999999999997</v>
      </c>
      <c r="E9" s="798">
        <v>33.799999999999997</v>
      </c>
      <c r="F9" s="798">
        <v>38.9</v>
      </c>
      <c r="G9" s="145"/>
      <c r="H9" s="798">
        <v>32.299999999999997</v>
      </c>
      <c r="I9" s="798">
        <v>34.799999999999997</v>
      </c>
      <c r="J9" s="798">
        <v>33.799999999999997</v>
      </c>
      <c r="K9" s="798">
        <v>33.299999999999997</v>
      </c>
      <c r="L9" s="798">
        <v>38.4</v>
      </c>
      <c r="M9" s="145"/>
      <c r="N9" s="798">
        <v>31.8</v>
      </c>
      <c r="O9" s="798">
        <v>34.1</v>
      </c>
      <c r="P9" s="798">
        <v>33.1</v>
      </c>
      <c r="Q9" s="798">
        <v>32.700000000000003</v>
      </c>
      <c r="R9" s="798">
        <v>38.299999999999997</v>
      </c>
    </row>
    <row r="10" spans="1:18">
      <c r="A10" s="935">
        <v>38169</v>
      </c>
      <c r="B10" s="138">
        <v>27.9</v>
      </c>
      <c r="C10" s="138">
        <v>36.6</v>
      </c>
      <c r="D10" s="138">
        <v>35.700000000000003</v>
      </c>
      <c r="E10" s="138">
        <v>35</v>
      </c>
      <c r="F10" s="138">
        <v>38.799999999999997</v>
      </c>
      <c r="G10" s="145"/>
      <c r="H10" s="138">
        <v>27</v>
      </c>
      <c r="I10" s="138">
        <v>35.9</v>
      </c>
      <c r="J10" s="138">
        <v>34.9</v>
      </c>
      <c r="K10" s="138">
        <v>34.299999999999997</v>
      </c>
      <c r="L10" s="138">
        <v>38.200000000000003</v>
      </c>
      <c r="M10" s="145"/>
      <c r="N10" s="138">
        <v>26.5</v>
      </c>
      <c r="O10" s="138">
        <v>35.4</v>
      </c>
      <c r="P10" s="138">
        <v>34.200000000000003</v>
      </c>
      <c r="Q10" s="138">
        <v>33.5</v>
      </c>
      <c r="R10" s="138">
        <v>38.1</v>
      </c>
    </row>
    <row r="11" spans="1:18">
      <c r="A11" s="934">
        <v>38200</v>
      </c>
      <c r="B11" s="798">
        <v>34.061944444444443</v>
      </c>
      <c r="C11" s="798">
        <v>36.505820105820113</v>
      </c>
      <c r="D11" s="798">
        <v>35.629791666666677</v>
      </c>
      <c r="E11" s="798">
        <v>34.96564102564102</v>
      </c>
      <c r="F11" s="798">
        <v>38.799999999999997</v>
      </c>
      <c r="G11" s="145"/>
      <c r="H11" s="798">
        <v>33.261148936170216</v>
      </c>
      <c r="I11" s="798">
        <v>35.777245283018871</v>
      </c>
      <c r="J11" s="798">
        <v>35</v>
      </c>
      <c r="K11" s="798">
        <v>34.437571428571424</v>
      </c>
      <c r="L11" s="798">
        <v>38.4</v>
      </c>
      <c r="M11" s="145"/>
      <c r="N11" s="798">
        <v>32.799999999999997</v>
      </c>
      <c r="O11" s="798">
        <v>35.065761904761906</v>
      </c>
      <c r="P11" s="798">
        <v>34.299999999999997</v>
      </c>
      <c r="Q11" s="798">
        <v>33.863916376306619</v>
      </c>
      <c r="R11" s="798">
        <v>38.13719756838907</v>
      </c>
    </row>
    <row r="12" spans="1:18">
      <c r="A12" s="935">
        <v>38231</v>
      </c>
      <c r="B12" s="138">
        <v>30.2</v>
      </c>
      <c r="C12" s="138">
        <v>36.299999999999997</v>
      </c>
      <c r="D12" s="138">
        <v>35.700000000000003</v>
      </c>
      <c r="E12" s="138">
        <v>35</v>
      </c>
      <c r="F12" s="138">
        <v>39.299999999999997</v>
      </c>
      <c r="G12" s="145"/>
      <c r="H12" s="138">
        <v>29.4</v>
      </c>
      <c r="I12" s="138">
        <v>35.4</v>
      </c>
      <c r="J12" s="138">
        <v>34.700000000000003</v>
      </c>
      <c r="K12" s="138">
        <v>34.200000000000003</v>
      </c>
      <c r="L12" s="138">
        <v>38.9</v>
      </c>
      <c r="M12" s="145"/>
      <c r="N12" s="138">
        <v>28.8</v>
      </c>
      <c r="O12" s="138">
        <v>34.700000000000003</v>
      </c>
      <c r="P12" s="138">
        <v>34</v>
      </c>
      <c r="Q12" s="138">
        <v>33.6</v>
      </c>
      <c r="R12" s="138">
        <v>38.5</v>
      </c>
    </row>
    <row r="13" spans="1:18">
      <c r="A13" s="934">
        <v>38261</v>
      </c>
      <c r="B13" s="798">
        <v>27.9</v>
      </c>
      <c r="C13" s="798">
        <v>34.700000000000003</v>
      </c>
      <c r="D13" s="798">
        <v>34.200000000000003</v>
      </c>
      <c r="E13" s="798">
        <v>33.700000000000003</v>
      </c>
      <c r="F13" s="798">
        <v>39.799999999999997</v>
      </c>
      <c r="G13" s="145"/>
      <c r="H13" s="798">
        <v>27</v>
      </c>
      <c r="I13" s="798">
        <v>33.700000000000003</v>
      </c>
      <c r="J13" s="798">
        <v>33.1</v>
      </c>
      <c r="K13" s="798">
        <v>32.700000000000003</v>
      </c>
      <c r="L13" s="798">
        <v>39.1</v>
      </c>
      <c r="M13" s="145"/>
      <c r="N13" s="798">
        <v>26.6</v>
      </c>
      <c r="O13" s="798">
        <v>33.1</v>
      </c>
      <c r="P13" s="798">
        <v>32.5</v>
      </c>
      <c r="Q13" s="798">
        <v>32.200000000000003</v>
      </c>
      <c r="R13" s="798">
        <v>38.6</v>
      </c>
    </row>
    <row r="14" spans="1:18">
      <c r="A14" s="935">
        <v>38292</v>
      </c>
      <c r="B14" s="138">
        <v>29.3</v>
      </c>
      <c r="C14" s="138">
        <v>33.700000000000003</v>
      </c>
      <c r="D14" s="138">
        <v>33.4</v>
      </c>
      <c r="E14" s="138">
        <v>33.200000000000003</v>
      </c>
      <c r="F14" s="138">
        <v>40.1</v>
      </c>
      <c r="G14" s="145"/>
      <c r="H14" s="138">
        <v>28.5</v>
      </c>
      <c r="I14" s="138">
        <v>33</v>
      </c>
      <c r="J14" s="138">
        <v>32.6</v>
      </c>
      <c r="K14" s="138">
        <v>32.4</v>
      </c>
      <c r="L14" s="138">
        <v>39.799999999999997</v>
      </c>
      <c r="M14" s="145"/>
      <c r="N14" s="138">
        <v>28.2</v>
      </c>
      <c r="O14" s="138">
        <v>32.5</v>
      </c>
      <c r="P14" s="138">
        <v>32</v>
      </c>
      <c r="Q14" s="138">
        <v>31.3</v>
      </c>
      <c r="R14" s="138">
        <v>39.299999999999997</v>
      </c>
    </row>
    <row r="15" spans="1:18">
      <c r="A15" s="934">
        <v>38322</v>
      </c>
      <c r="B15" s="798">
        <v>26.8</v>
      </c>
      <c r="C15" s="798">
        <v>32.5</v>
      </c>
      <c r="D15" s="798">
        <v>32.5</v>
      </c>
      <c r="E15" s="798">
        <v>32.4</v>
      </c>
      <c r="F15" s="798">
        <v>39.799999999999997</v>
      </c>
      <c r="G15" s="145"/>
      <c r="H15" s="798">
        <v>26</v>
      </c>
      <c r="I15" s="798">
        <v>31.6</v>
      </c>
      <c r="J15" s="798">
        <v>31.6</v>
      </c>
      <c r="K15" s="798">
        <v>31.6</v>
      </c>
      <c r="L15" s="798">
        <v>39.5</v>
      </c>
      <c r="M15" s="145"/>
      <c r="N15" s="798">
        <v>25.6</v>
      </c>
      <c r="O15" s="798">
        <v>31.1</v>
      </c>
      <c r="P15" s="798">
        <v>31.1</v>
      </c>
      <c r="Q15" s="798">
        <v>31.2</v>
      </c>
      <c r="R15" s="798">
        <v>39.1</v>
      </c>
    </row>
    <row r="16" spans="1:18">
      <c r="A16" s="935">
        <v>38353</v>
      </c>
      <c r="B16" s="138">
        <v>24.9</v>
      </c>
      <c r="C16" s="138">
        <v>30.6</v>
      </c>
      <c r="D16" s="138">
        <v>31.2</v>
      </c>
      <c r="E16" s="138">
        <v>31.2</v>
      </c>
      <c r="F16" s="138">
        <v>39</v>
      </c>
      <c r="G16" s="145"/>
      <c r="H16" s="138">
        <v>24.1</v>
      </c>
      <c r="I16" s="138">
        <v>29.4</v>
      </c>
      <c r="J16" s="138">
        <v>30</v>
      </c>
      <c r="K16" s="138">
        <v>30.2</v>
      </c>
      <c r="L16" s="138">
        <v>38.299999999999997</v>
      </c>
      <c r="M16" s="145"/>
      <c r="N16" s="138">
        <v>23.6</v>
      </c>
      <c r="O16" s="138">
        <v>28.7</v>
      </c>
      <c r="P16" s="138">
        <v>29.4</v>
      </c>
      <c r="Q16" s="138">
        <v>29.6</v>
      </c>
      <c r="R16" s="138">
        <v>37.799999999999997</v>
      </c>
    </row>
    <row r="17" spans="1:18">
      <c r="A17" s="934">
        <v>38384</v>
      </c>
      <c r="B17" s="798">
        <v>27</v>
      </c>
      <c r="C17" s="798">
        <v>28.6</v>
      </c>
      <c r="D17" s="798">
        <v>29.8</v>
      </c>
      <c r="E17" s="798">
        <v>30.2</v>
      </c>
      <c r="F17" s="798">
        <v>37.6</v>
      </c>
      <c r="G17" s="145"/>
      <c r="H17" s="798">
        <v>26.2</v>
      </c>
      <c r="I17" s="798">
        <v>27.7</v>
      </c>
      <c r="J17" s="798">
        <v>28.8</v>
      </c>
      <c r="K17" s="798">
        <v>29.3</v>
      </c>
      <c r="L17" s="798">
        <v>36.700000000000003</v>
      </c>
      <c r="M17" s="145"/>
      <c r="N17" s="798">
        <v>25.8</v>
      </c>
      <c r="O17" s="798">
        <v>27.4</v>
      </c>
      <c r="P17" s="798">
        <v>28.6</v>
      </c>
      <c r="Q17" s="798">
        <v>29</v>
      </c>
      <c r="R17" s="798">
        <v>36.299999999999997</v>
      </c>
    </row>
    <row r="18" spans="1:18">
      <c r="A18" s="935">
        <v>38412</v>
      </c>
      <c r="B18" s="138">
        <v>31.9</v>
      </c>
      <c r="C18" s="138">
        <v>28.6</v>
      </c>
      <c r="D18" s="138">
        <v>29.8</v>
      </c>
      <c r="E18" s="138">
        <v>30.2</v>
      </c>
      <c r="F18" s="138">
        <v>36.4</v>
      </c>
      <c r="G18" s="145"/>
      <c r="H18" s="138">
        <v>31.1</v>
      </c>
      <c r="I18" s="138">
        <v>28</v>
      </c>
      <c r="J18" s="138">
        <v>29.1</v>
      </c>
      <c r="K18" s="138">
        <v>29.5</v>
      </c>
      <c r="L18" s="138">
        <v>35.6</v>
      </c>
      <c r="M18" s="145"/>
      <c r="N18" s="138">
        <v>30.7</v>
      </c>
      <c r="O18" s="138">
        <v>27.6</v>
      </c>
      <c r="P18" s="138">
        <v>28.6</v>
      </c>
      <c r="Q18" s="138">
        <v>29.2</v>
      </c>
      <c r="R18" s="138">
        <v>35</v>
      </c>
    </row>
    <row r="19" spans="1:18">
      <c r="A19" s="934">
        <v>38443</v>
      </c>
      <c r="B19" s="798">
        <v>32.200000000000003</v>
      </c>
      <c r="C19" s="798">
        <v>30.3</v>
      </c>
      <c r="D19" s="798">
        <v>31</v>
      </c>
      <c r="E19" s="798">
        <v>31.3</v>
      </c>
      <c r="F19" s="798">
        <v>35.6</v>
      </c>
      <c r="G19" s="145"/>
      <c r="H19" s="798">
        <v>31.3</v>
      </c>
      <c r="I19" s="798">
        <v>29.8</v>
      </c>
      <c r="J19" s="798">
        <v>30.5</v>
      </c>
      <c r="K19" s="798">
        <v>30.8</v>
      </c>
      <c r="L19" s="798">
        <v>35</v>
      </c>
      <c r="M19" s="145"/>
      <c r="N19" s="798">
        <v>30.9</v>
      </c>
      <c r="O19" s="798">
        <v>29.5</v>
      </c>
      <c r="P19" s="798">
        <v>30.1</v>
      </c>
      <c r="Q19" s="798">
        <v>30.4</v>
      </c>
      <c r="R19" s="798">
        <v>34.4</v>
      </c>
    </row>
    <row r="20" spans="1:18">
      <c r="A20" s="935">
        <v>38473</v>
      </c>
      <c r="B20" s="138">
        <v>32.700000000000003</v>
      </c>
      <c r="C20" s="138">
        <v>33.1</v>
      </c>
      <c r="D20" s="138">
        <v>33.200000000000003</v>
      </c>
      <c r="E20" s="138">
        <v>33.299999999999997</v>
      </c>
      <c r="F20" s="138">
        <v>35.799999999999997</v>
      </c>
      <c r="G20" s="145"/>
      <c r="H20" s="138">
        <v>31.9</v>
      </c>
      <c r="I20" s="138">
        <v>33</v>
      </c>
      <c r="J20" s="138">
        <v>32.9</v>
      </c>
      <c r="K20" s="138">
        <v>32.9</v>
      </c>
      <c r="L20" s="138">
        <v>35.200000000000003</v>
      </c>
      <c r="M20" s="145"/>
      <c r="N20" s="138">
        <v>31.4</v>
      </c>
      <c r="O20" s="138">
        <v>32.299999999999997</v>
      </c>
      <c r="P20" s="138">
        <v>32.299999999999997</v>
      </c>
      <c r="Q20" s="138">
        <v>32.4</v>
      </c>
      <c r="R20" s="138">
        <v>34.799999999999997</v>
      </c>
    </row>
    <row r="21" spans="1:18">
      <c r="A21" s="934">
        <v>38504</v>
      </c>
      <c r="B21" s="798">
        <v>28.6</v>
      </c>
      <c r="C21" s="798">
        <v>34.9</v>
      </c>
      <c r="D21" s="798">
        <v>34.6</v>
      </c>
      <c r="E21" s="798">
        <v>34.4</v>
      </c>
      <c r="F21" s="798">
        <v>36.299999999999997</v>
      </c>
      <c r="G21" s="145"/>
      <c r="H21" s="798">
        <v>27.8</v>
      </c>
      <c r="I21" s="798">
        <v>34.5</v>
      </c>
      <c r="J21" s="798">
        <v>34.200000000000003</v>
      </c>
      <c r="K21" s="798">
        <v>33.799999999999997</v>
      </c>
      <c r="L21" s="798">
        <v>35.6</v>
      </c>
      <c r="M21" s="145"/>
      <c r="N21" s="798">
        <v>27.3</v>
      </c>
      <c r="O21" s="798">
        <v>33.9</v>
      </c>
      <c r="P21" s="798">
        <v>33.4</v>
      </c>
      <c r="Q21" s="798">
        <v>33.200000000000003</v>
      </c>
      <c r="R21" s="798">
        <v>35.200000000000003</v>
      </c>
    </row>
    <row r="22" spans="1:18">
      <c r="A22" s="935">
        <v>38534</v>
      </c>
      <c r="B22" s="138">
        <v>31.3</v>
      </c>
      <c r="C22" s="138">
        <v>37.200000000000003</v>
      </c>
      <c r="D22" s="138">
        <v>36.700000000000003</v>
      </c>
      <c r="E22" s="138">
        <v>36.200000000000003</v>
      </c>
      <c r="F22" s="138">
        <v>37.299999999999997</v>
      </c>
      <c r="G22" s="145"/>
      <c r="H22" s="138">
        <v>30.4</v>
      </c>
      <c r="I22" s="138">
        <v>37.1</v>
      </c>
      <c r="J22" s="138">
        <v>36.5</v>
      </c>
      <c r="K22" s="138">
        <v>35.9</v>
      </c>
      <c r="L22" s="138">
        <v>36.700000000000003</v>
      </c>
      <c r="M22" s="145"/>
      <c r="N22" s="138">
        <v>30</v>
      </c>
      <c r="O22" s="138">
        <v>36.700000000000003</v>
      </c>
      <c r="P22" s="138">
        <v>36</v>
      </c>
      <c r="Q22" s="138">
        <v>35.700000000000003</v>
      </c>
      <c r="R22" s="138">
        <v>36.5</v>
      </c>
    </row>
    <row r="23" spans="1:18">
      <c r="A23" s="934">
        <v>38565</v>
      </c>
      <c r="B23" s="798">
        <v>33</v>
      </c>
      <c r="C23" s="798">
        <v>38.9</v>
      </c>
      <c r="D23" s="798">
        <v>38.1</v>
      </c>
      <c r="E23" s="798">
        <v>37.6</v>
      </c>
      <c r="F23" s="798">
        <v>38.299999999999997</v>
      </c>
      <c r="G23" s="145"/>
      <c r="H23" s="798">
        <v>32.1</v>
      </c>
      <c r="I23" s="798">
        <v>38.299999999999997</v>
      </c>
      <c r="J23" s="798">
        <v>37.4</v>
      </c>
      <c r="K23" s="798">
        <v>36.9</v>
      </c>
      <c r="L23" s="798">
        <v>37.799999999999997</v>
      </c>
      <c r="M23" s="145"/>
      <c r="N23" s="798">
        <v>31.7</v>
      </c>
      <c r="O23" s="798">
        <v>37.700000000000003</v>
      </c>
      <c r="P23" s="798">
        <v>36.700000000000003</v>
      </c>
      <c r="Q23" s="798">
        <v>36.299999999999997</v>
      </c>
      <c r="R23" s="798">
        <v>37.5</v>
      </c>
    </row>
    <row r="24" spans="1:18">
      <c r="A24" s="935">
        <v>38596</v>
      </c>
      <c r="B24" s="138">
        <v>31.3</v>
      </c>
      <c r="C24" s="138">
        <v>39.700000000000003</v>
      </c>
      <c r="D24" s="138">
        <v>39</v>
      </c>
      <c r="E24" s="138">
        <v>38.5</v>
      </c>
      <c r="F24" s="138">
        <v>40.200000000000003</v>
      </c>
      <c r="G24" s="145"/>
      <c r="H24" s="138">
        <v>30.5</v>
      </c>
      <c r="I24" s="138">
        <v>38.9</v>
      </c>
      <c r="J24" s="138">
        <v>38.200000000000003</v>
      </c>
      <c r="K24" s="138">
        <v>37.700000000000003</v>
      </c>
      <c r="L24" s="138">
        <v>39.799999999999997</v>
      </c>
      <c r="M24" s="145"/>
      <c r="N24" s="138">
        <v>30.1</v>
      </c>
      <c r="O24" s="138">
        <v>38.200000000000003</v>
      </c>
      <c r="P24" s="138">
        <v>37.5</v>
      </c>
      <c r="Q24" s="138">
        <v>37</v>
      </c>
      <c r="R24" s="138">
        <v>39.6</v>
      </c>
    </row>
    <row r="25" spans="1:18">
      <c r="A25" s="934">
        <v>38626</v>
      </c>
      <c r="B25" s="798">
        <v>34.200000000000003</v>
      </c>
      <c r="C25" s="798">
        <v>39.4</v>
      </c>
      <c r="D25" s="798">
        <v>38.9</v>
      </c>
      <c r="E25" s="798">
        <v>38.5</v>
      </c>
      <c r="F25" s="798">
        <v>41.4</v>
      </c>
      <c r="G25" s="145"/>
      <c r="H25" s="798">
        <v>33.4</v>
      </c>
      <c r="I25" s="798">
        <v>38.700000000000003</v>
      </c>
      <c r="J25" s="798">
        <v>38.1</v>
      </c>
      <c r="K25" s="798">
        <v>37.799999999999997</v>
      </c>
      <c r="L25" s="798">
        <v>41.1</v>
      </c>
      <c r="M25" s="145"/>
      <c r="N25" s="798">
        <v>33</v>
      </c>
      <c r="O25" s="798">
        <v>38</v>
      </c>
      <c r="P25" s="798">
        <v>37.4</v>
      </c>
      <c r="Q25" s="798">
        <v>37.1</v>
      </c>
      <c r="R25" s="798">
        <v>41</v>
      </c>
    </row>
    <row r="26" spans="1:18">
      <c r="A26" s="935">
        <v>38657</v>
      </c>
      <c r="B26" s="138">
        <v>33.299999999999997</v>
      </c>
      <c r="C26" s="138">
        <v>39.6</v>
      </c>
      <c r="D26" s="138">
        <v>39.1</v>
      </c>
      <c r="E26" s="138">
        <v>38.700000000000003</v>
      </c>
      <c r="F26" s="138">
        <v>42.3</v>
      </c>
      <c r="G26" s="145"/>
      <c r="H26" s="138">
        <v>32.4</v>
      </c>
      <c r="I26" s="138">
        <v>38.799999999999997</v>
      </c>
      <c r="J26" s="138">
        <v>38.4</v>
      </c>
      <c r="K26" s="138">
        <v>38</v>
      </c>
      <c r="L26" s="138">
        <v>42</v>
      </c>
      <c r="M26" s="145"/>
      <c r="N26" s="138">
        <v>32.1</v>
      </c>
      <c r="O26" s="138">
        <v>38.299999999999997</v>
      </c>
      <c r="P26" s="138">
        <v>37.799999999999997</v>
      </c>
      <c r="Q26" s="138">
        <v>37.5</v>
      </c>
      <c r="R26" s="138">
        <v>42</v>
      </c>
    </row>
    <row r="27" spans="1:18">
      <c r="A27" s="934">
        <v>38687</v>
      </c>
      <c r="B27" s="798">
        <v>37.1</v>
      </c>
      <c r="C27" s="798">
        <v>39.799999999999997</v>
      </c>
      <c r="D27" s="798">
        <v>39.4</v>
      </c>
      <c r="E27" s="798">
        <v>39</v>
      </c>
      <c r="F27" s="798">
        <v>43</v>
      </c>
      <c r="G27" s="145"/>
      <c r="H27" s="798">
        <v>36.200000000000003</v>
      </c>
      <c r="I27" s="798">
        <v>39</v>
      </c>
      <c r="J27" s="798">
        <v>38.6</v>
      </c>
      <c r="K27" s="798">
        <v>38.299999999999997</v>
      </c>
      <c r="L27" s="798">
        <v>42.7</v>
      </c>
      <c r="M27" s="145"/>
      <c r="N27" s="798">
        <v>35.9</v>
      </c>
      <c r="O27" s="798">
        <v>38.5</v>
      </c>
      <c r="P27" s="798">
        <v>38.1</v>
      </c>
      <c r="Q27" s="798">
        <v>37.799999999999997</v>
      </c>
      <c r="R27" s="798">
        <v>42.7</v>
      </c>
    </row>
    <row r="28" spans="1:18">
      <c r="A28" s="935">
        <v>38718</v>
      </c>
      <c r="B28" s="138">
        <v>41</v>
      </c>
      <c r="C28" s="138">
        <v>40.4</v>
      </c>
      <c r="D28" s="138">
        <v>40</v>
      </c>
      <c r="E28" s="138">
        <v>39.5</v>
      </c>
      <c r="F28" s="138">
        <v>44.5</v>
      </c>
      <c r="G28" s="145"/>
      <c r="H28" s="138">
        <v>40.200000000000003</v>
      </c>
      <c r="I28" s="138">
        <v>39.799999999999997</v>
      </c>
      <c r="J28" s="138">
        <v>39.299999999999997</v>
      </c>
      <c r="K28" s="138">
        <v>38.799999999999997</v>
      </c>
      <c r="L28" s="138">
        <v>44.1</v>
      </c>
      <c r="M28" s="145"/>
      <c r="N28" s="138">
        <v>39.799999999999997</v>
      </c>
      <c r="O28" s="138">
        <v>39.4</v>
      </c>
      <c r="P28" s="138">
        <v>38.9</v>
      </c>
      <c r="Q28" s="138">
        <v>38.4</v>
      </c>
      <c r="R28" s="138">
        <v>44</v>
      </c>
    </row>
    <row r="29" spans="1:18">
      <c r="A29" s="934">
        <v>38749</v>
      </c>
      <c r="B29" s="798">
        <v>44.4</v>
      </c>
      <c r="C29" s="798">
        <v>42.6</v>
      </c>
      <c r="D29" s="798">
        <v>41.9</v>
      </c>
      <c r="E29" s="798">
        <v>41.4</v>
      </c>
      <c r="F29" s="798">
        <v>45.9</v>
      </c>
      <c r="G29" s="145"/>
      <c r="H29" s="798">
        <v>43.5</v>
      </c>
      <c r="I29" s="798">
        <v>42.1</v>
      </c>
      <c r="J29" s="798">
        <v>41.5</v>
      </c>
      <c r="K29" s="798">
        <v>40.9</v>
      </c>
      <c r="L29" s="798">
        <v>45.6</v>
      </c>
      <c r="M29" s="145"/>
      <c r="N29" s="798">
        <v>43.2</v>
      </c>
      <c r="O29" s="798">
        <v>41.6</v>
      </c>
      <c r="P29" s="798">
        <v>40.9</v>
      </c>
      <c r="Q29" s="798">
        <v>40.299999999999997</v>
      </c>
      <c r="R29" s="798">
        <v>45.5</v>
      </c>
    </row>
    <row r="30" spans="1:18">
      <c r="A30" s="935">
        <v>38777</v>
      </c>
      <c r="B30" s="138">
        <v>52.9</v>
      </c>
      <c r="C30" s="138">
        <v>45.6</v>
      </c>
      <c r="D30" s="138">
        <v>44.7</v>
      </c>
      <c r="E30" s="138">
        <v>44</v>
      </c>
      <c r="F30" s="138">
        <v>47.5</v>
      </c>
      <c r="G30" s="145"/>
      <c r="H30" s="138">
        <v>52</v>
      </c>
      <c r="I30" s="138">
        <v>45.6</v>
      </c>
      <c r="J30" s="138">
        <v>44.7</v>
      </c>
      <c r="K30" s="138">
        <v>43.9</v>
      </c>
      <c r="L30" s="138">
        <v>47.2</v>
      </c>
      <c r="M30" s="145"/>
      <c r="N30" s="138">
        <v>51.7</v>
      </c>
      <c r="O30" s="138">
        <v>45.1</v>
      </c>
      <c r="P30" s="138">
        <v>44.1</v>
      </c>
      <c r="Q30" s="138">
        <v>43.3</v>
      </c>
      <c r="R30" s="138">
        <v>46.9</v>
      </c>
    </row>
    <row r="31" spans="1:18">
      <c r="A31" s="934">
        <v>38808</v>
      </c>
      <c r="B31" s="798">
        <v>49.6</v>
      </c>
      <c r="C31" s="798">
        <v>50.3</v>
      </c>
      <c r="D31" s="798">
        <v>48.5</v>
      </c>
      <c r="E31" s="798">
        <v>47.2</v>
      </c>
      <c r="F31" s="798">
        <v>50.6</v>
      </c>
      <c r="G31" s="145"/>
      <c r="H31" s="798">
        <v>48.7</v>
      </c>
      <c r="I31" s="798">
        <v>50.5</v>
      </c>
      <c r="J31" s="798">
        <v>48.5</v>
      </c>
      <c r="K31" s="798">
        <v>47.1</v>
      </c>
      <c r="L31" s="798">
        <v>50.2</v>
      </c>
      <c r="M31" s="145"/>
      <c r="N31" s="798">
        <v>48.4</v>
      </c>
      <c r="O31" s="798">
        <v>49.6</v>
      </c>
      <c r="P31" s="798">
        <v>47.6</v>
      </c>
      <c r="Q31" s="798">
        <v>46.3</v>
      </c>
      <c r="R31" s="798">
        <v>50</v>
      </c>
    </row>
    <row r="32" spans="1:18">
      <c r="A32" s="935">
        <v>38838</v>
      </c>
      <c r="B32" s="138">
        <v>36.6</v>
      </c>
      <c r="C32" s="138">
        <v>49.1</v>
      </c>
      <c r="D32" s="138">
        <v>47.7</v>
      </c>
      <c r="E32" s="138">
        <v>47.3</v>
      </c>
      <c r="F32" s="138">
        <v>53.5</v>
      </c>
      <c r="G32" s="145"/>
      <c r="H32" s="138">
        <v>35.799999999999997</v>
      </c>
      <c r="I32" s="138">
        <v>48.3</v>
      </c>
      <c r="J32" s="138">
        <v>46.6</v>
      </c>
      <c r="K32" s="138">
        <v>46.4</v>
      </c>
      <c r="L32" s="138">
        <v>53.4</v>
      </c>
      <c r="M32" s="145"/>
      <c r="N32" s="138">
        <v>35.5</v>
      </c>
      <c r="O32" s="138">
        <v>47.5</v>
      </c>
      <c r="P32" s="138">
        <v>45.6</v>
      </c>
      <c r="Q32" s="138">
        <v>45.6</v>
      </c>
      <c r="R32" s="138">
        <v>53.2</v>
      </c>
    </row>
    <row r="33" spans="1:18">
      <c r="A33" s="934">
        <v>38869</v>
      </c>
      <c r="B33" s="798">
        <v>45.6</v>
      </c>
      <c r="C33" s="798">
        <v>48.5</v>
      </c>
      <c r="D33" s="798">
        <v>47.3</v>
      </c>
      <c r="E33" s="798">
        <v>47</v>
      </c>
      <c r="F33" s="798">
        <v>53</v>
      </c>
      <c r="G33" s="145"/>
      <c r="H33" s="798">
        <v>44.7</v>
      </c>
      <c r="I33" s="798">
        <v>47.7</v>
      </c>
      <c r="J33" s="798">
        <v>46.3</v>
      </c>
      <c r="K33" s="798">
        <v>46.1</v>
      </c>
      <c r="L33" s="798">
        <v>53</v>
      </c>
      <c r="M33" s="145"/>
      <c r="N33" s="798">
        <v>44.4</v>
      </c>
      <c r="O33" s="798">
        <v>47.4</v>
      </c>
      <c r="P33" s="798">
        <v>45.9</v>
      </c>
      <c r="Q33" s="798">
        <v>45.7</v>
      </c>
      <c r="R33" s="798">
        <v>52.7</v>
      </c>
    </row>
    <row r="34" spans="1:18">
      <c r="A34" s="935">
        <v>38899</v>
      </c>
      <c r="B34" s="138">
        <v>49</v>
      </c>
      <c r="C34" s="138">
        <v>49.7</v>
      </c>
      <c r="D34" s="138">
        <v>48.1</v>
      </c>
      <c r="E34" s="138">
        <v>47.5</v>
      </c>
      <c r="F34" s="138">
        <v>52.9</v>
      </c>
      <c r="G34" s="145"/>
      <c r="H34" s="138">
        <v>48.1</v>
      </c>
      <c r="I34" s="138">
        <v>49.3</v>
      </c>
      <c r="J34" s="138">
        <v>47.6</v>
      </c>
      <c r="K34" s="138">
        <v>46.9</v>
      </c>
      <c r="L34" s="138">
        <v>52.8</v>
      </c>
      <c r="M34" s="145"/>
      <c r="N34" s="138">
        <v>47.8</v>
      </c>
      <c r="O34" s="138">
        <v>48.9</v>
      </c>
      <c r="P34" s="138">
        <v>47.1</v>
      </c>
      <c r="Q34" s="138">
        <v>46.5</v>
      </c>
      <c r="R34" s="138">
        <v>52.6</v>
      </c>
    </row>
    <row r="35" spans="1:18">
      <c r="A35" s="934">
        <v>38930</v>
      </c>
      <c r="B35" s="798">
        <v>65.7</v>
      </c>
      <c r="C35" s="798">
        <v>53.1</v>
      </c>
      <c r="D35" s="798">
        <v>50.9</v>
      </c>
      <c r="E35" s="798">
        <v>49.8</v>
      </c>
      <c r="F35" s="798">
        <v>53.8</v>
      </c>
      <c r="G35" s="145"/>
      <c r="H35" s="798">
        <v>64.8</v>
      </c>
      <c r="I35" s="798">
        <v>53</v>
      </c>
      <c r="J35" s="798">
        <v>50.5</v>
      </c>
      <c r="K35" s="798">
        <v>49.3</v>
      </c>
      <c r="L35" s="798">
        <v>53.7</v>
      </c>
      <c r="M35" s="145"/>
      <c r="N35" s="798">
        <v>64.5</v>
      </c>
      <c r="O35" s="798">
        <v>52.6</v>
      </c>
      <c r="P35" s="798">
        <v>50</v>
      </c>
      <c r="Q35" s="798">
        <v>48.6</v>
      </c>
      <c r="R35" s="798">
        <v>53.5</v>
      </c>
    </row>
    <row r="36" spans="1:18">
      <c r="A36" s="935">
        <v>38961</v>
      </c>
      <c r="B36" s="138">
        <v>64</v>
      </c>
      <c r="C36" s="138">
        <v>59.5</v>
      </c>
      <c r="D36" s="138">
        <v>54.8</v>
      </c>
      <c r="E36" s="138">
        <v>52.7</v>
      </c>
      <c r="F36" s="138">
        <v>60.3</v>
      </c>
      <c r="G36" s="145"/>
      <c r="H36" s="138">
        <v>63.1</v>
      </c>
      <c r="I36" s="138">
        <v>59.5</v>
      </c>
      <c r="J36" s="138">
        <v>54.3</v>
      </c>
      <c r="K36" s="138">
        <v>52.2</v>
      </c>
      <c r="L36" s="138">
        <v>60.7</v>
      </c>
      <c r="M36" s="145"/>
      <c r="N36" s="138">
        <v>62.8</v>
      </c>
      <c r="O36" s="138">
        <v>58.7</v>
      </c>
      <c r="P36" s="138">
        <v>53.5</v>
      </c>
      <c r="Q36" s="138">
        <v>51.4</v>
      </c>
      <c r="R36" s="138">
        <v>60.9</v>
      </c>
    </row>
    <row r="37" spans="1:18">
      <c r="A37" s="934">
        <v>38991</v>
      </c>
      <c r="B37" s="798">
        <v>51.3</v>
      </c>
      <c r="C37" s="798">
        <v>59.5</v>
      </c>
      <c r="D37" s="798">
        <v>54.4</v>
      </c>
      <c r="E37" s="798">
        <v>52.5</v>
      </c>
      <c r="F37" s="798">
        <v>66.7</v>
      </c>
      <c r="G37" s="145"/>
      <c r="H37" s="798">
        <v>50.4</v>
      </c>
      <c r="I37" s="798">
        <v>58.5</v>
      </c>
      <c r="J37" s="798">
        <v>53.2</v>
      </c>
      <c r="K37" s="798">
        <v>51.4</v>
      </c>
      <c r="L37" s="798">
        <v>66.5</v>
      </c>
      <c r="M37" s="145"/>
      <c r="N37" s="798">
        <v>50.1</v>
      </c>
      <c r="O37" s="798">
        <v>57.8</v>
      </c>
      <c r="P37" s="798">
        <v>52.7</v>
      </c>
      <c r="Q37" s="798">
        <v>50.8</v>
      </c>
      <c r="R37" s="798">
        <v>66.7</v>
      </c>
    </row>
    <row r="38" spans="1:18">
      <c r="A38" s="935">
        <v>39022</v>
      </c>
      <c r="B38" s="138">
        <v>46</v>
      </c>
      <c r="C38" s="138">
        <v>56.4</v>
      </c>
      <c r="D38" s="138">
        <v>52.1</v>
      </c>
      <c r="E38" s="138">
        <v>50.5</v>
      </c>
      <c r="F38" s="138">
        <v>67.599999999999994</v>
      </c>
      <c r="G38" s="145"/>
      <c r="H38" s="138">
        <v>45.2</v>
      </c>
      <c r="I38" s="138">
        <v>55.1</v>
      </c>
      <c r="J38" s="138">
        <v>50.9</v>
      </c>
      <c r="K38" s="138">
        <v>49.4</v>
      </c>
      <c r="L38" s="138">
        <v>67.5</v>
      </c>
      <c r="M38" s="145"/>
      <c r="N38" s="138">
        <v>44.9</v>
      </c>
      <c r="O38" s="138">
        <v>54.6</v>
      </c>
      <c r="P38" s="138">
        <v>50.5</v>
      </c>
      <c r="Q38" s="138">
        <v>49.2</v>
      </c>
      <c r="R38" s="138">
        <v>67.5</v>
      </c>
    </row>
    <row r="39" spans="1:18">
      <c r="A39" s="934">
        <v>39052</v>
      </c>
      <c r="B39" s="798">
        <v>33</v>
      </c>
      <c r="C39" s="798">
        <v>49</v>
      </c>
      <c r="D39" s="798">
        <v>48</v>
      </c>
      <c r="E39" s="798">
        <v>47.3</v>
      </c>
      <c r="F39" s="798">
        <v>66.599999999999994</v>
      </c>
      <c r="G39" s="145"/>
      <c r="H39" s="798">
        <v>32.200000000000003</v>
      </c>
      <c r="I39" s="798">
        <v>47.2</v>
      </c>
      <c r="J39" s="798">
        <v>46.1</v>
      </c>
      <c r="K39" s="798">
        <v>46</v>
      </c>
      <c r="L39" s="798">
        <v>66.2</v>
      </c>
      <c r="M39" s="145"/>
      <c r="N39" s="798">
        <v>31.8</v>
      </c>
      <c r="O39" s="798">
        <v>46.9</v>
      </c>
      <c r="P39" s="798">
        <v>45.8</v>
      </c>
      <c r="Q39" s="798">
        <v>45.8</v>
      </c>
      <c r="R39" s="798">
        <v>65.7</v>
      </c>
    </row>
    <row r="40" spans="1:18">
      <c r="A40" s="935">
        <v>39083</v>
      </c>
      <c r="B40" s="138">
        <v>31.8</v>
      </c>
      <c r="C40" s="138">
        <v>46.6</v>
      </c>
      <c r="D40" s="138">
        <v>47.3</v>
      </c>
      <c r="E40" s="138">
        <v>47.7</v>
      </c>
      <c r="F40" s="138">
        <v>65.900000000000006</v>
      </c>
      <c r="G40" s="145"/>
      <c r="H40" s="138">
        <v>31</v>
      </c>
      <c r="I40" s="138">
        <v>44.9</v>
      </c>
      <c r="J40" s="138">
        <v>45.9</v>
      </c>
      <c r="K40" s="138">
        <v>46.6</v>
      </c>
      <c r="L40" s="138">
        <v>65.3</v>
      </c>
      <c r="M40" s="145"/>
      <c r="N40" s="138">
        <v>30.7</v>
      </c>
      <c r="O40" s="138">
        <v>44.7</v>
      </c>
      <c r="P40" s="138">
        <v>45.6</v>
      </c>
      <c r="Q40" s="138">
        <v>46.4</v>
      </c>
      <c r="R40" s="138">
        <v>64.7</v>
      </c>
    </row>
    <row r="41" spans="1:18">
      <c r="A41" s="934">
        <v>39114</v>
      </c>
      <c r="B41" s="798">
        <v>34.6</v>
      </c>
      <c r="C41" s="798">
        <v>42.5</v>
      </c>
      <c r="D41" s="798">
        <v>44.8</v>
      </c>
      <c r="E41" s="798">
        <v>45.8</v>
      </c>
      <c r="F41" s="798">
        <v>61.7</v>
      </c>
      <c r="G41" s="145"/>
      <c r="H41" s="798">
        <v>33.700000000000003</v>
      </c>
      <c r="I41" s="798">
        <v>41.3</v>
      </c>
      <c r="J41" s="798">
        <v>43.8</v>
      </c>
      <c r="K41" s="798">
        <v>44.9</v>
      </c>
      <c r="L41" s="798">
        <v>61.1</v>
      </c>
      <c r="M41" s="145"/>
      <c r="N41" s="798">
        <v>33.5</v>
      </c>
      <c r="O41" s="798">
        <v>41.1</v>
      </c>
      <c r="P41" s="798">
        <v>43.4</v>
      </c>
      <c r="Q41" s="798">
        <v>44.7</v>
      </c>
      <c r="R41" s="798">
        <v>60.7</v>
      </c>
    </row>
    <row r="42" spans="1:18">
      <c r="A42" s="935">
        <v>39142</v>
      </c>
      <c r="B42" s="138">
        <v>29</v>
      </c>
      <c r="C42" s="138">
        <v>41.7</v>
      </c>
      <c r="D42" s="138">
        <v>44.4</v>
      </c>
      <c r="E42" s="138">
        <v>45.4</v>
      </c>
      <c r="F42" s="138">
        <v>56.5</v>
      </c>
      <c r="G42" s="145"/>
      <c r="H42" s="138">
        <v>28.1</v>
      </c>
      <c r="I42" s="138">
        <v>40.700000000000003</v>
      </c>
      <c r="J42" s="138">
        <v>43.5</v>
      </c>
      <c r="K42" s="138">
        <v>44.6</v>
      </c>
      <c r="L42" s="138">
        <v>55.8</v>
      </c>
      <c r="M42" s="145"/>
      <c r="N42" s="138">
        <v>27.8</v>
      </c>
      <c r="O42" s="138">
        <v>40.299999999999997</v>
      </c>
      <c r="P42" s="138">
        <v>43</v>
      </c>
      <c r="Q42" s="138">
        <v>44.2</v>
      </c>
      <c r="R42" s="138">
        <v>55</v>
      </c>
    </row>
    <row r="43" spans="1:18">
      <c r="A43" s="934">
        <v>39173</v>
      </c>
      <c r="B43" s="798">
        <v>27.5</v>
      </c>
      <c r="C43" s="798">
        <v>41.7</v>
      </c>
      <c r="D43" s="798">
        <v>45.1</v>
      </c>
      <c r="E43" s="798">
        <v>46.2</v>
      </c>
      <c r="F43" s="798">
        <v>52.6</v>
      </c>
      <c r="G43" s="145"/>
      <c r="H43" s="798">
        <v>26.7</v>
      </c>
      <c r="I43" s="798">
        <v>41.4</v>
      </c>
      <c r="J43" s="798">
        <v>44.5</v>
      </c>
      <c r="K43" s="798">
        <v>45.7</v>
      </c>
      <c r="L43" s="798">
        <v>52.2</v>
      </c>
      <c r="M43" s="145"/>
      <c r="N43" s="798">
        <v>26.4</v>
      </c>
      <c r="O43" s="798">
        <v>41.1</v>
      </c>
      <c r="P43" s="798">
        <v>44.1</v>
      </c>
      <c r="Q43" s="798">
        <v>45.3</v>
      </c>
      <c r="R43" s="798">
        <v>51.4</v>
      </c>
    </row>
    <row r="44" spans="1:18">
      <c r="A44" s="935">
        <v>39203</v>
      </c>
      <c r="B44" s="138">
        <v>27.2</v>
      </c>
      <c r="C44" s="138">
        <v>42.5</v>
      </c>
      <c r="D44" s="138">
        <v>45.9</v>
      </c>
      <c r="E44" s="138">
        <v>47.1</v>
      </c>
      <c r="F44" s="138">
        <v>50.5</v>
      </c>
      <c r="G44" s="145"/>
      <c r="H44" s="138">
        <v>26.5</v>
      </c>
      <c r="I44" s="138">
        <v>41.9</v>
      </c>
      <c r="J44" s="138">
        <v>45.3</v>
      </c>
      <c r="K44" s="138">
        <v>46.4</v>
      </c>
      <c r="L44" s="138">
        <v>49.8</v>
      </c>
      <c r="M44" s="145"/>
      <c r="N44" s="138">
        <v>26.1</v>
      </c>
      <c r="O44" s="138">
        <v>41.4</v>
      </c>
      <c r="P44" s="138">
        <v>44.5</v>
      </c>
      <c r="Q44" s="138">
        <v>45.8</v>
      </c>
      <c r="R44" s="138">
        <v>49.4</v>
      </c>
    </row>
    <row r="45" spans="1:18">
      <c r="A45" s="934">
        <v>39234</v>
      </c>
      <c r="B45" s="798">
        <v>31.9</v>
      </c>
      <c r="C45" s="798">
        <v>44</v>
      </c>
      <c r="D45" s="798">
        <v>47.4</v>
      </c>
      <c r="E45" s="798">
        <v>48.5</v>
      </c>
      <c r="F45" s="798">
        <v>48.7</v>
      </c>
      <c r="G45" s="145"/>
      <c r="H45" s="798">
        <v>31.1</v>
      </c>
      <c r="I45" s="798">
        <v>43.4</v>
      </c>
      <c r="J45" s="798">
        <v>46.8</v>
      </c>
      <c r="K45" s="798">
        <v>47.9</v>
      </c>
      <c r="L45" s="798">
        <v>47.9</v>
      </c>
      <c r="M45" s="145"/>
      <c r="N45" s="798">
        <v>30.8</v>
      </c>
      <c r="O45" s="798">
        <v>42.9</v>
      </c>
      <c r="P45" s="798">
        <v>46.2</v>
      </c>
      <c r="Q45" s="798">
        <v>47.3</v>
      </c>
      <c r="R45" s="798">
        <v>47.9</v>
      </c>
    </row>
    <row r="46" spans="1:18">
      <c r="A46" s="935">
        <v>39264</v>
      </c>
      <c r="B46" s="138">
        <v>27.6</v>
      </c>
      <c r="C46" s="138">
        <v>46</v>
      </c>
      <c r="D46" s="138">
        <v>49</v>
      </c>
      <c r="E46" s="138">
        <v>50.3</v>
      </c>
      <c r="F46" s="138">
        <v>49</v>
      </c>
      <c r="G46" s="145"/>
      <c r="H46" s="138">
        <v>26.8</v>
      </c>
      <c r="I46" s="138">
        <v>45.6</v>
      </c>
      <c r="J46" s="138">
        <v>48.6</v>
      </c>
      <c r="K46" s="138">
        <v>49.7</v>
      </c>
      <c r="L46" s="138">
        <v>48.2</v>
      </c>
      <c r="M46" s="145"/>
      <c r="N46" s="138">
        <v>26.5</v>
      </c>
      <c r="O46" s="138">
        <v>44.9</v>
      </c>
      <c r="P46" s="138">
        <v>48</v>
      </c>
      <c r="Q46" s="138">
        <v>49</v>
      </c>
      <c r="R46" s="138">
        <v>48.1</v>
      </c>
    </row>
    <row r="47" spans="1:18">
      <c r="A47" s="934">
        <v>39295</v>
      </c>
      <c r="B47" s="798">
        <v>32</v>
      </c>
      <c r="C47" s="798">
        <v>46.9</v>
      </c>
      <c r="D47" s="798">
        <v>49.8</v>
      </c>
      <c r="E47" s="798">
        <v>50.9</v>
      </c>
      <c r="F47" s="798">
        <v>49.2</v>
      </c>
      <c r="G47" s="145"/>
      <c r="H47" s="798">
        <v>31.2</v>
      </c>
      <c r="I47" s="798">
        <v>45.9</v>
      </c>
      <c r="J47" s="798">
        <v>49</v>
      </c>
      <c r="K47" s="798">
        <v>50</v>
      </c>
      <c r="L47" s="798">
        <v>48.4</v>
      </c>
      <c r="M47" s="145"/>
      <c r="N47" s="798">
        <v>30.9</v>
      </c>
      <c r="O47" s="798">
        <v>45.4</v>
      </c>
      <c r="P47" s="798">
        <v>48.4</v>
      </c>
      <c r="Q47" s="798">
        <v>49.4</v>
      </c>
      <c r="R47" s="798">
        <v>48.4</v>
      </c>
    </row>
    <row r="48" spans="1:18">
      <c r="A48" s="935">
        <v>39326</v>
      </c>
      <c r="B48" s="138">
        <v>36.9</v>
      </c>
      <c r="C48" s="138">
        <v>48</v>
      </c>
      <c r="D48" s="138">
        <v>50.3</v>
      </c>
      <c r="E48" s="138">
        <v>51.2</v>
      </c>
      <c r="F48" s="138">
        <v>49.7</v>
      </c>
      <c r="G48" s="145"/>
      <c r="H48" s="138">
        <v>36.200000000000003</v>
      </c>
      <c r="I48" s="138">
        <v>47.3</v>
      </c>
      <c r="J48" s="138">
        <v>49.6</v>
      </c>
      <c r="K48" s="138">
        <v>50.5</v>
      </c>
      <c r="L48" s="138">
        <v>48.3</v>
      </c>
      <c r="M48" s="145"/>
      <c r="N48" s="138">
        <v>35.9</v>
      </c>
      <c r="O48" s="138">
        <v>46.8</v>
      </c>
      <c r="P48" s="138">
        <v>49</v>
      </c>
      <c r="Q48" s="138">
        <v>49.9</v>
      </c>
      <c r="R48" s="138">
        <v>48.3</v>
      </c>
    </row>
    <row r="49" spans="1:18">
      <c r="A49" s="934">
        <v>39356</v>
      </c>
      <c r="B49" s="798">
        <v>41.8</v>
      </c>
      <c r="C49" s="798">
        <v>49.4</v>
      </c>
      <c r="D49" s="798">
        <v>51.4</v>
      </c>
      <c r="E49" s="798">
        <v>52.2</v>
      </c>
      <c r="F49" s="798">
        <v>51.1</v>
      </c>
      <c r="G49" s="145"/>
      <c r="H49" s="798">
        <v>40.9</v>
      </c>
      <c r="I49" s="798">
        <v>49</v>
      </c>
      <c r="J49" s="798">
        <v>50.8</v>
      </c>
      <c r="K49" s="798">
        <v>51.7</v>
      </c>
      <c r="L49" s="798">
        <v>50.4</v>
      </c>
      <c r="M49" s="145"/>
      <c r="N49" s="798">
        <v>40.6</v>
      </c>
      <c r="O49" s="798">
        <v>48.5</v>
      </c>
      <c r="P49" s="798">
        <v>50.3</v>
      </c>
      <c r="Q49" s="798">
        <v>51.3</v>
      </c>
      <c r="R49" s="798">
        <v>50.6</v>
      </c>
    </row>
    <row r="50" spans="1:18">
      <c r="A50" s="935">
        <v>39387</v>
      </c>
      <c r="B50" s="138">
        <v>49.6</v>
      </c>
      <c r="C50" s="138">
        <v>53.9</v>
      </c>
      <c r="D50" s="138">
        <v>54.4</v>
      </c>
      <c r="E50" s="138">
        <v>55</v>
      </c>
      <c r="F50" s="138">
        <v>54.9</v>
      </c>
      <c r="G50" s="145"/>
      <c r="H50" s="138">
        <v>48.8</v>
      </c>
      <c r="I50" s="138">
        <v>53.6</v>
      </c>
      <c r="J50" s="138">
        <v>54</v>
      </c>
      <c r="K50" s="138">
        <v>54.5</v>
      </c>
      <c r="L50" s="138">
        <v>54</v>
      </c>
      <c r="M50" s="145"/>
      <c r="N50" s="138">
        <v>48.5</v>
      </c>
      <c r="O50" s="138">
        <v>52.4</v>
      </c>
      <c r="P50" s="138">
        <v>53</v>
      </c>
      <c r="Q50" s="138">
        <v>53.4</v>
      </c>
      <c r="R50" s="138">
        <v>53.9</v>
      </c>
    </row>
    <row r="51" spans="1:18">
      <c r="A51" s="934">
        <v>39417</v>
      </c>
      <c r="B51" s="798">
        <v>50.2</v>
      </c>
      <c r="C51" s="798">
        <v>56.3</v>
      </c>
      <c r="D51" s="798">
        <v>56.3</v>
      </c>
      <c r="E51" s="798">
        <v>56.6</v>
      </c>
      <c r="F51" s="798">
        <v>57.9</v>
      </c>
      <c r="G51" s="145"/>
      <c r="H51" s="798">
        <v>49.3</v>
      </c>
      <c r="I51" s="798">
        <v>55.6</v>
      </c>
      <c r="J51" s="798">
        <v>55.5</v>
      </c>
      <c r="K51" s="798">
        <v>55.9</v>
      </c>
      <c r="L51" s="798">
        <v>56.9</v>
      </c>
      <c r="M51" s="145"/>
      <c r="N51" s="798">
        <v>49</v>
      </c>
      <c r="O51" s="798">
        <v>54.5</v>
      </c>
      <c r="P51" s="798">
        <v>54.6</v>
      </c>
      <c r="Q51" s="798">
        <v>54.9</v>
      </c>
      <c r="R51" s="798">
        <v>56.5</v>
      </c>
    </row>
    <row r="52" spans="1:18">
      <c r="A52" s="935">
        <v>39448</v>
      </c>
      <c r="B52" s="138">
        <v>50.9</v>
      </c>
      <c r="C52" s="138">
        <v>57.9</v>
      </c>
      <c r="D52" s="138">
        <v>57.8</v>
      </c>
      <c r="E52" s="138">
        <v>57.9</v>
      </c>
      <c r="F52" s="138">
        <v>61.7</v>
      </c>
      <c r="G52" s="145"/>
      <c r="H52" s="138">
        <v>50.1</v>
      </c>
      <c r="I52" s="138">
        <v>57.1</v>
      </c>
      <c r="J52" s="138">
        <v>57</v>
      </c>
      <c r="K52" s="138">
        <v>57</v>
      </c>
      <c r="L52" s="138">
        <v>60.9</v>
      </c>
      <c r="M52" s="145"/>
      <c r="N52" s="138">
        <v>49.7</v>
      </c>
      <c r="O52" s="138">
        <v>56.5</v>
      </c>
      <c r="P52" s="138">
        <v>56.4</v>
      </c>
      <c r="Q52" s="138">
        <v>56.4</v>
      </c>
      <c r="R52" s="138">
        <v>60.7</v>
      </c>
    </row>
    <row r="53" spans="1:18">
      <c r="A53" s="934">
        <v>39479</v>
      </c>
      <c r="B53" s="798">
        <v>44.8</v>
      </c>
      <c r="C53" s="798">
        <v>56.8</v>
      </c>
      <c r="D53" s="798">
        <v>57.5</v>
      </c>
      <c r="E53" s="798">
        <v>57.9</v>
      </c>
      <c r="F53" s="798">
        <v>62.4</v>
      </c>
      <c r="G53" s="145"/>
      <c r="H53" s="798">
        <v>44</v>
      </c>
      <c r="I53" s="798">
        <v>56</v>
      </c>
      <c r="J53" s="798">
        <v>56.7</v>
      </c>
      <c r="K53" s="798">
        <v>57.2</v>
      </c>
      <c r="L53" s="798">
        <v>61.6</v>
      </c>
      <c r="M53" s="145"/>
      <c r="N53" s="798">
        <v>43.7</v>
      </c>
      <c r="O53" s="798">
        <v>55.6</v>
      </c>
      <c r="P53" s="798">
        <v>56.3</v>
      </c>
      <c r="Q53" s="798">
        <v>56.8</v>
      </c>
      <c r="R53" s="798">
        <v>61.2</v>
      </c>
    </row>
    <row r="54" spans="1:18">
      <c r="A54" s="935">
        <v>39508</v>
      </c>
      <c r="B54" s="138">
        <v>37.799999999999997</v>
      </c>
      <c r="C54" s="138">
        <v>56</v>
      </c>
      <c r="D54" s="138">
        <v>57.6</v>
      </c>
      <c r="E54" s="138">
        <v>58.1</v>
      </c>
      <c r="F54" s="138">
        <v>62.6</v>
      </c>
      <c r="G54" s="145"/>
      <c r="H54" s="138">
        <v>37</v>
      </c>
      <c r="I54" s="138">
        <v>54.9</v>
      </c>
      <c r="J54" s="138">
        <v>56.7</v>
      </c>
      <c r="K54" s="138">
        <v>57.4</v>
      </c>
      <c r="L54" s="138">
        <v>62.1</v>
      </c>
      <c r="M54" s="145"/>
      <c r="N54" s="138">
        <v>36.700000000000003</v>
      </c>
      <c r="O54" s="138">
        <v>54.3</v>
      </c>
      <c r="P54" s="138">
        <v>56.2</v>
      </c>
      <c r="Q54" s="138">
        <v>56.9</v>
      </c>
      <c r="R54" s="138">
        <v>61.8</v>
      </c>
    </row>
    <row r="55" spans="1:18">
      <c r="A55" s="934">
        <v>39539</v>
      </c>
      <c r="B55" s="798">
        <v>48.7</v>
      </c>
      <c r="C55" s="798">
        <v>55.5</v>
      </c>
      <c r="D55" s="798">
        <v>57.3</v>
      </c>
      <c r="E55" s="798">
        <v>57.9</v>
      </c>
      <c r="F55" s="798">
        <v>61.2</v>
      </c>
      <c r="G55" s="145"/>
      <c r="H55" s="798">
        <v>47.9</v>
      </c>
      <c r="I55" s="798">
        <v>54.4</v>
      </c>
      <c r="J55" s="798">
        <v>56.3</v>
      </c>
      <c r="K55" s="798">
        <v>57.1</v>
      </c>
      <c r="L55" s="798">
        <v>60.5</v>
      </c>
      <c r="M55" s="145"/>
      <c r="N55" s="798">
        <v>47.6</v>
      </c>
      <c r="O55" s="798">
        <v>53.9</v>
      </c>
      <c r="P55" s="798">
        <v>55.8</v>
      </c>
      <c r="Q55" s="798">
        <v>56.7</v>
      </c>
      <c r="R55" s="798">
        <v>60</v>
      </c>
    </row>
    <row r="56" spans="1:18">
      <c r="A56" s="935">
        <v>39569</v>
      </c>
      <c r="B56" s="138">
        <v>44.1</v>
      </c>
      <c r="C56" s="138">
        <v>57.4</v>
      </c>
      <c r="D56" s="138">
        <v>58.7</v>
      </c>
      <c r="E56" s="138">
        <v>59.5</v>
      </c>
      <c r="F56" s="138">
        <v>60.4</v>
      </c>
      <c r="G56" s="145"/>
      <c r="H56" s="138">
        <v>43.3</v>
      </c>
      <c r="I56" s="138">
        <v>57.1</v>
      </c>
      <c r="J56" s="138">
        <v>58.5</v>
      </c>
      <c r="K56" s="138">
        <v>59.2</v>
      </c>
      <c r="L56" s="138">
        <v>59.5</v>
      </c>
      <c r="M56" s="145"/>
      <c r="N56" s="138">
        <v>43</v>
      </c>
      <c r="O56" s="138">
        <v>56.6</v>
      </c>
      <c r="P56" s="138">
        <v>58.1</v>
      </c>
      <c r="Q56" s="138">
        <v>58.8</v>
      </c>
      <c r="R56" s="138">
        <v>59.3</v>
      </c>
    </row>
    <row r="57" spans="1:18">
      <c r="A57" s="934">
        <v>39600</v>
      </c>
      <c r="B57" s="798">
        <v>62.8</v>
      </c>
      <c r="C57" s="798">
        <v>63.9</v>
      </c>
      <c r="D57" s="798">
        <v>64.3</v>
      </c>
      <c r="E57" s="798">
        <v>64.400000000000006</v>
      </c>
      <c r="F57" s="798">
        <v>60.6</v>
      </c>
      <c r="G57" s="145"/>
      <c r="H57" s="798">
        <v>62.1</v>
      </c>
      <c r="I57" s="798">
        <v>64</v>
      </c>
      <c r="J57" s="798">
        <v>64.8</v>
      </c>
      <c r="K57" s="798">
        <v>64.5</v>
      </c>
      <c r="L57" s="798">
        <v>60.1</v>
      </c>
      <c r="M57" s="145"/>
      <c r="N57" s="798">
        <v>61.8</v>
      </c>
      <c r="O57" s="798">
        <v>63.2</v>
      </c>
      <c r="P57" s="798">
        <v>64.099999999999994</v>
      </c>
      <c r="Q57" s="798">
        <v>63.8</v>
      </c>
      <c r="R57" s="798">
        <v>60.1</v>
      </c>
    </row>
    <row r="58" spans="1:18">
      <c r="A58" s="935">
        <v>39630</v>
      </c>
      <c r="B58" s="138">
        <v>65</v>
      </c>
      <c r="C58" s="138">
        <v>71.099999999999994</v>
      </c>
      <c r="D58" s="138">
        <v>70.7</v>
      </c>
      <c r="E58" s="138">
        <v>70.400000000000006</v>
      </c>
      <c r="F58" s="138">
        <v>65.3</v>
      </c>
      <c r="G58" s="145"/>
      <c r="H58" s="138">
        <v>64.3</v>
      </c>
      <c r="I58" s="138">
        <v>71.400000000000006</v>
      </c>
      <c r="J58" s="138">
        <v>71.2</v>
      </c>
      <c r="K58" s="138">
        <v>70.7</v>
      </c>
      <c r="L58" s="138">
        <v>65</v>
      </c>
      <c r="M58" s="145"/>
      <c r="N58" s="138">
        <v>64</v>
      </c>
      <c r="O58" s="138">
        <v>70.5</v>
      </c>
      <c r="P58" s="138">
        <v>70.599999999999994</v>
      </c>
      <c r="Q58" s="138">
        <v>70</v>
      </c>
      <c r="R58" s="138">
        <v>64.900000000000006</v>
      </c>
    </row>
    <row r="59" spans="1:18">
      <c r="A59" s="934">
        <v>39661</v>
      </c>
      <c r="B59" s="798">
        <v>70.599999999999994</v>
      </c>
      <c r="C59" s="798">
        <v>72.3</v>
      </c>
      <c r="D59" s="798">
        <v>71.7</v>
      </c>
      <c r="E59" s="798">
        <v>71.2</v>
      </c>
      <c r="F59" s="798">
        <v>70.8</v>
      </c>
      <c r="G59" s="145"/>
      <c r="H59" s="798">
        <v>69.8</v>
      </c>
      <c r="I59" s="798">
        <v>71.900000000000006</v>
      </c>
      <c r="J59" s="798">
        <v>71.099999999999994</v>
      </c>
      <c r="K59" s="798">
        <v>70.5</v>
      </c>
      <c r="L59" s="798">
        <v>70</v>
      </c>
      <c r="M59" s="145"/>
      <c r="N59" s="798">
        <v>69.599999999999994</v>
      </c>
      <c r="O59" s="798">
        <v>71</v>
      </c>
      <c r="P59" s="798">
        <v>70.400000000000006</v>
      </c>
      <c r="Q59" s="798">
        <v>69.900000000000006</v>
      </c>
      <c r="R59" s="798">
        <v>69.599999999999994</v>
      </c>
    </row>
    <row r="60" spans="1:18">
      <c r="A60" s="935">
        <v>39692</v>
      </c>
      <c r="B60" s="138">
        <v>79.599999999999994</v>
      </c>
      <c r="C60" s="138">
        <v>75.5</v>
      </c>
      <c r="D60" s="138">
        <v>74.099999999999994</v>
      </c>
      <c r="E60" s="138">
        <v>72.900000000000006</v>
      </c>
      <c r="F60" s="138">
        <v>74.7</v>
      </c>
      <c r="G60" s="145"/>
      <c r="H60" s="138">
        <v>78.900000000000006</v>
      </c>
      <c r="I60" s="138">
        <v>75.2</v>
      </c>
      <c r="J60" s="138">
        <v>73.8</v>
      </c>
      <c r="K60" s="138">
        <v>72.599999999999994</v>
      </c>
      <c r="L60" s="138">
        <v>74.2</v>
      </c>
      <c r="M60" s="145"/>
      <c r="N60" s="138">
        <v>78.599999999999994</v>
      </c>
      <c r="O60" s="138">
        <v>75</v>
      </c>
      <c r="P60" s="138">
        <v>73.599999999999994</v>
      </c>
      <c r="Q60" s="138">
        <v>72.5</v>
      </c>
      <c r="R60" s="138">
        <v>73.900000000000006</v>
      </c>
    </row>
    <row r="61" spans="1:18">
      <c r="A61" s="934">
        <v>39722</v>
      </c>
      <c r="B61" s="798">
        <v>69.099999999999994</v>
      </c>
      <c r="C61" s="798">
        <v>75</v>
      </c>
      <c r="D61" s="798">
        <v>73.099999999999994</v>
      </c>
      <c r="E61" s="798">
        <v>71.900000000000006</v>
      </c>
      <c r="F61" s="798">
        <v>81.5</v>
      </c>
      <c r="G61" s="145"/>
      <c r="H61" s="798">
        <v>68.400000000000006</v>
      </c>
      <c r="I61" s="798">
        <v>74</v>
      </c>
      <c r="J61" s="798">
        <v>71.5</v>
      </c>
      <c r="K61" s="798">
        <v>70.8</v>
      </c>
      <c r="L61" s="798">
        <v>81</v>
      </c>
      <c r="M61" s="145"/>
      <c r="N61" s="798">
        <v>68.099999999999994</v>
      </c>
      <c r="O61" s="798">
        <v>73.599999999999994</v>
      </c>
      <c r="P61" s="798">
        <v>71.2</v>
      </c>
      <c r="Q61" s="798">
        <v>70.599999999999994</v>
      </c>
      <c r="R61" s="798">
        <v>80.7</v>
      </c>
    </row>
    <row r="62" spans="1:18">
      <c r="A62" s="935">
        <v>39753</v>
      </c>
      <c r="B62" s="138">
        <v>63.1</v>
      </c>
      <c r="C62" s="138">
        <v>68.7</v>
      </c>
      <c r="D62" s="138">
        <v>67.7</v>
      </c>
      <c r="E62" s="138">
        <v>67.099999999999994</v>
      </c>
      <c r="F62" s="138">
        <v>82.1</v>
      </c>
      <c r="G62" s="145"/>
      <c r="H62" s="138">
        <v>62.4</v>
      </c>
      <c r="I62" s="138">
        <v>67</v>
      </c>
      <c r="J62" s="138">
        <v>65.8</v>
      </c>
      <c r="K62" s="138">
        <v>65.5</v>
      </c>
      <c r="L62" s="138">
        <v>81.7</v>
      </c>
      <c r="M62" s="145"/>
      <c r="N62" s="138">
        <v>62</v>
      </c>
      <c r="O62" s="138">
        <v>66.900000000000006</v>
      </c>
      <c r="P62" s="138">
        <v>65.2</v>
      </c>
      <c r="Q62" s="138">
        <v>65.3</v>
      </c>
      <c r="R62" s="138">
        <v>81.7</v>
      </c>
    </row>
    <row r="63" spans="1:18">
      <c r="A63" s="934">
        <v>39783</v>
      </c>
      <c r="B63" s="798">
        <v>57.6</v>
      </c>
      <c r="C63" s="798">
        <v>62</v>
      </c>
      <c r="D63" s="798">
        <v>61.3</v>
      </c>
      <c r="E63" s="798">
        <v>60.4</v>
      </c>
      <c r="F63" s="798">
        <v>81.5</v>
      </c>
      <c r="G63" s="145"/>
      <c r="H63" s="798">
        <v>56.8</v>
      </c>
      <c r="I63" s="798">
        <v>60.2</v>
      </c>
      <c r="J63" s="798">
        <v>58.8</v>
      </c>
      <c r="K63" s="798">
        <v>58.7</v>
      </c>
      <c r="L63" s="798">
        <v>80.900000000000006</v>
      </c>
      <c r="M63" s="145"/>
      <c r="N63" s="798">
        <v>56.5</v>
      </c>
      <c r="O63" s="798">
        <v>60.3</v>
      </c>
      <c r="P63" s="798">
        <v>58.8</v>
      </c>
      <c r="Q63" s="798">
        <v>58.8</v>
      </c>
      <c r="R63" s="798">
        <v>81</v>
      </c>
    </row>
    <row r="64" spans="1:18">
      <c r="A64" s="935">
        <v>39814</v>
      </c>
      <c r="B64" s="138">
        <v>53.5</v>
      </c>
      <c r="C64" s="138">
        <v>58.4</v>
      </c>
      <c r="D64" s="138">
        <v>58</v>
      </c>
      <c r="E64" s="138">
        <v>57.4</v>
      </c>
      <c r="F64" s="138">
        <v>79.3</v>
      </c>
      <c r="G64" s="145"/>
      <c r="H64" s="138">
        <v>52.6</v>
      </c>
      <c r="I64" s="138">
        <v>56.9</v>
      </c>
      <c r="J64" s="138">
        <v>55.9</v>
      </c>
      <c r="K64" s="138">
        <v>56</v>
      </c>
      <c r="L64" s="138">
        <v>78.3</v>
      </c>
      <c r="M64" s="145"/>
      <c r="N64" s="138">
        <v>52.4</v>
      </c>
      <c r="O64" s="138">
        <v>56.7</v>
      </c>
      <c r="P64" s="138">
        <v>55.7</v>
      </c>
      <c r="Q64" s="138">
        <v>55.8</v>
      </c>
      <c r="R64" s="138">
        <v>78.8</v>
      </c>
    </row>
    <row r="65" spans="1:18">
      <c r="A65" s="934">
        <v>39845</v>
      </c>
      <c r="B65" s="798">
        <v>51.2</v>
      </c>
      <c r="C65" s="798">
        <v>55</v>
      </c>
      <c r="D65" s="798">
        <v>54.1</v>
      </c>
      <c r="E65" s="798">
        <v>53.6</v>
      </c>
      <c r="F65" s="798">
        <v>76.3</v>
      </c>
      <c r="G65" s="145"/>
      <c r="H65" s="798">
        <v>50.4</v>
      </c>
      <c r="I65" s="798">
        <v>53.8</v>
      </c>
      <c r="J65" s="798">
        <v>52.7</v>
      </c>
      <c r="K65" s="798">
        <v>52.6</v>
      </c>
      <c r="L65" s="798">
        <v>75.099999999999994</v>
      </c>
      <c r="M65" s="145"/>
      <c r="N65" s="798">
        <v>50.1</v>
      </c>
      <c r="O65" s="798">
        <v>53.4</v>
      </c>
      <c r="P65" s="798">
        <v>52</v>
      </c>
      <c r="Q65" s="798">
        <v>52</v>
      </c>
      <c r="R65" s="798">
        <v>75.3</v>
      </c>
    </row>
    <row r="66" spans="1:18">
      <c r="A66" s="935">
        <v>39873</v>
      </c>
      <c r="B66" s="138">
        <v>48.9</v>
      </c>
      <c r="C66" s="138">
        <v>50.8</v>
      </c>
      <c r="D66" s="138">
        <v>50.8</v>
      </c>
      <c r="E66" s="138">
        <v>50.6</v>
      </c>
      <c r="F66" s="138">
        <v>73</v>
      </c>
      <c r="G66" s="145"/>
      <c r="H66" s="138">
        <v>48.1</v>
      </c>
      <c r="I66" s="138">
        <v>49.4</v>
      </c>
      <c r="J66" s="138">
        <v>49</v>
      </c>
      <c r="K66" s="138">
        <v>49.1</v>
      </c>
      <c r="L66" s="138">
        <v>71.3</v>
      </c>
      <c r="M66" s="145"/>
      <c r="N66" s="138">
        <v>47.8</v>
      </c>
      <c r="O66" s="138">
        <v>49.1</v>
      </c>
      <c r="P66" s="138">
        <v>48.4</v>
      </c>
      <c r="Q66" s="138">
        <v>48.7</v>
      </c>
      <c r="R66" s="138">
        <v>71.3</v>
      </c>
    </row>
    <row r="67" spans="1:18">
      <c r="A67" s="934">
        <v>39904</v>
      </c>
      <c r="B67" s="798">
        <v>46.9</v>
      </c>
      <c r="C67" s="798">
        <v>51</v>
      </c>
      <c r="D67" s="798">
        <v>50.7</v>
      </c>
      <c r="E67" s="798">
        <v>51.3</v>
      </c>
      <c r="F67" s="798">
        <v>68.599999999999994</v>
      </c>
      <c r="G67" s="145"/>
      <c r="H67" s="798">
        <v>46.2</v>
      </c>
      <c r="I67" s="798">
        <v>50.2</v>
      </c>
      <c r="J67" s="798">
        <v>50</v>
      </c>
      <c r="K67" s="798">
        <v>50.5</v>
      </c>
      <c r="L67" s="798">
        <v>67</v>
      </c>
      <c r="M67" s="145"/>
      <c r="N67" s="798">
        <v>45.8</v>
      </c>
      <c r="O67" s="798">
        <v>50.1</v>
      </c>
      <c r="P67" s="798">
        <v>49.9</v>
      </c>
      <c r="Q67" s="798">
        <v>50.2</v>
      </c>
      <c r="R67" s="798">
        <v>67.099999999999994</v>
      </c>
    </row>
    <row r="68" spans="1:18">
      <c r="A68" s="935">
        <v>39934</v>
      </c>
      <c r="B68" s="138">
        <v>44.4</v>
      </c>
      <c r="C68" s="138">
        <v>52</v>
      </c>
      <c r="D68" s="138">
        <v>52.1</v>
      </c>
      <c r="E68" s="138">
        <v>53</v>
      </c>
      <c r="F68" s="138">
        <v>66.7</v>
      </c>
      <c r="G68" s="145"/>
      <c r="H68" s="138">
        <v>43.7</v>
      </c>
      <c r="I68" s="138">
        <v>51.6</v>
      </c>
      <c r="J68" s="138">
        <v>51.9</v>
      </c>
      <c r="K68" s="138">
        <v>52.6</v>
      </c>
      <c r="L68" s="138">
        <v>65.599999999999994</v>
      </c>
      <c r="M68" s="145"/>
      <c r="N68" s="138">
        <v>43.3</v>
      </c>
      <c r="O68" s="138">
        <v>51.4</v>
      </c>
      <c r="P68" s="138">
        <v>51.5</v>
      </c>
      <c r="Q68" s="138">
        <v>52.4</v>
      </c>
      <c r="R68" s="138">
        <v>65.599999999999994</v>
      </c>
    </row>
    <row r="69" spans="1:18">
      <c r="A69" s="934">
        <v>39965</v>
      </c>
      <c r="B69" s="798">
        <v>47.8</v>
      </c>
      <c r="C69" s="798">
        <v>53.4</v>
      </c>
      <c r="D69" s="798">
        <v>54.2</v>
      </c>
      <c r="E69" s="798">
        <v>54.9</v>
      </c>
      <c r="F69" s="798">
        <v>66.099999999999994</v>
      </c>
      <c r="G69" s="145"/>
      <c r="H69" s="798">
        <v>47.1</v>
      </c>
      <c r="I69" s="798">
        <v>53</v>
      </c>
      <c r="J69" s="798">
        <v>54</v>
      </c>
      <c r="K69" s="798">
        <v>54.5</v>
      </c>
      <c r="L69" s="798">
        <v>64.900000000000006</v>
      </c>
      <c r="M69" s="145"/>
      <c r="N69" s="798">
        <v>46.8</v>
      </c>
      <c r="O69" s="798">
        <v>52.8</v>
      </c>
      <c r="P69" s="798">
        <v>53.7</v>
      </c>
      <c r="Q69" s="798">
        <v>54.2</v>
      </c>
      <c r="R69" s="798">
        <v>65.099999999999994</v>
      </c>
    </row>
    <row r="70" spans="1:18">
      <c r="A70" s="935">
        <v>39995</v>
      </c>
      <c r="B70" s="138">
        <v>46</v>
      </c>
      <c r="C70" s="138">
        <v>53.8</v>
      </c>
      <c r="D70" s="138">
        <v>54.1</v>
      </c>
      <c r="E70" s="138">
        <v>55</v>
      </c>
      <c r="F70" s="138">
        <v>65.8</v>
      </c>
      <c r="G70" s="145"/>
      <c r="H70" s="138">
        <v>45.2</v>
      </c>
      <c r="I70" s="138">
        <v>53.3</v>
      </c>
      <c r="J70" s="138">
        <v>53.7</v>
      </c>
      <c r="K70" s="138">
        <v>54.4</v>
      </c>
      <c r="L70" s="138">
        <v>64.599999999999994</v>
      </c>
      <c r="M70" s="145"/>
      <c r="N70" s="138">
        <v>45</v>
      </c>
      <c r="O70" s="138">
        <v>53</v>
      </c>
      <c r="P70" s="138">
        <v>53.4</v>
      </c>
      <c r="Q70" s="138">
        <v>54</v>
      </c>
      <c r="R70" s="138">
        <v>64.7</v>
      </c>
    </row>
    <row r="71" spans="1:18">
      <c r="A71" s="934">
        <v>40026</v>
      </c>
      <c r="B71" s="798">
        <v>46.9</v>
      </c>
      <c r="C71" s="798">
        <v>51.7</v>
      </c>
      <c r="D71" s="798">
        <v>52.7</v>
      </c>
      <c r="E71" s="798">
        <v>53.7</v>
      </c>
      <c r="F71" s="798">
        <v>65.7</v>
      </c>
      <c r="G71" s="145"/>
      <c r="H71" s="798">
        <v>46.2</v>
      </c>
      <c r="I71" s="798">
        <v>50.6</v>
      </c>
      <c r="J71" s="798">
        <v>51.5</v>
      </c>
      <c r="K71" s="798">
        <v>52.7</v>
      </c>
      <c r="L71" s="798">
        <v>64.400000000000006</v>
      </c>
      <c r="M71" s="145"/>
      <c r="N71" s="798">
        <v>45.9</v>
      </c>
      <c r="O71" s="798">
        <v>50.2</v>
      </c>
      <c r="P71" s="798">
        <v>51</v>
      </c>
      <c r="Q71" s="798">
        <v>52.4</v>
      </c>
      <c r="R71" s="798">
        <v>64.5</v>
      </c>
    </row>
    <row r="72" spans="1:18">
      <c r="A72" s="935">
        <v>40057</v>
      </c>
      <c r="B72" s="138">
        <v>45.7</v>
      </c>
      <c r="C72" s="138">
        <v>48.9</v>
      </c>
      <c r="D72" s="138">
        <v>50.7</v>
      </c>
      <c r="E72" s="138">
        <v>51.8</v>
      </c>
      <c r="F72" s="138">
        <v>65.599999999999994</v>
      </c>
      <c r="G72" s="145"/>
      <c r="H72" s="138">
        <v>44.9</v>
      </c>
      <c r="I72" s="138">
        <v>47.7</v>
      </c>
      <c r="J72" s="138">
        <v>49.4</v>
      </c>
      <c r="K72" s="138">
        <v>50.8</v>
      </c>
      <c r="L72" s="138">
        <v>64.400000000000006</v>
      </c>
      <c r="M72" s="145"/>
      <c r="N72" s="138">
        <v>44.6</v>
      </c>
      <c r="O72" s="138">
        <v>47.4</v>
      </c>
      <c r="P72" s="138">
        <v>49</v>
      </c>
      <c r="Q72" s="138">
        <v>50.5</v>
      </c>
      <c r="R72" s="138">
        <v>64.599999999999994</v>
      </c>
    </row>
    <row r="73" spans="1:18">
      <c r="A73" s="934">
        <v>40087</v>
      </c>
      <c r="B73" s="798">
        <v>45.7</v>
      </c>
      <c r="C73" s="798">
        <v>47.1</v>
      </c>
      <c r="D73" s="798">
        <v>49.3</v>
      </c>
      <c r="E73" s="798">
        <v>50.6</v>
      </c>
      <c r="F73" s="798">
        <v>65.599999999999994</v>
      </c>
      <c r="G73" s="145"/>
      <c r="H73" s="798">
        <v>44.9</v>
      </c>
      <c r="I73" s="798">
        <v>45.9</v>
      </c>
      <c r="J73" s="798">
        <v>48.1</v>
      </c>
      <c r="K73" s="798">
        <v>49.8</v>
      </c>
      <c r="L73" s="798">
        <v>64.400000000000006</v>
      </c>
      <c r="M73" s="145"/>
      <c r="N73" s="798">
        <v>44.6</v>
      </c>
      <c r="O73" s="798">
        <v>45.8</v>
      </c>
      <c r="P73" s="798">
        <v>48</v>
      </c>
      <c r="Q73" s="798">
        <v>49.7</v>
      </c>
      <c r="R73" s="798">
        <v>64.599999999999994</v>
      </c>
    </row>
    <row r="74" spans="1:18">
      <c r="A74" s="935">
        <v>40118</v>
      </c>
      <c r="B74" s="138">
        <v>47.5</v>
      </c>
      <c r="C74" s="138">
        <v>48.4</v>
      </c>
      <c r="D74" s="138">
        <v>50.6</v>
      </c>
      <c r="E74" s="138">
        <v>51.9</v>
      </c>
      <c r="F74" s="138">
        <v>65.2</v>
      </c>
      <c r="G74" s="145"/>
      <c r="H74" s="138">
        <v>46.8</v>
      </c>
      <c r="I74" s="138">
        <v>48</v>
      </c>
      <c r="J74" s="138">
        <v>50.5</v>
      </c>
      <c r="K74" s="138">
        <v>51.6</v>
      </c>
      <c r="L74" s="138">
        <v>64</v>
      </c>
      <c r="M74" s="145"/>
      <c r="N74" s="138">
        <v>46.5</v>
      </c>
      <c r="O74" s="138">
        <v>47.7</v>
      </c>
      <c r="P74" s="138">
        <v>50.2</v>
      </c>
      <c r="Q74" s="138">
        <v>51.3</v>
      </c>
      <c r="R74" s="138">
        <v>64.5</v>
      </c>
    </row>
    <row r="75" spans="1:18">
      <c r="A75" s="934">
        <v>40148</v>
      </c>
      <c r="B75" s="798">
        <v>59.8</v>
      </c>
      <c r="C75" s="798">
        <v>48.9</v>
      </c>
      <c r="D75" s="798">
        <v>50.8</v>
      </c>
      <c r="E75" s="798">
        <v>52.3</v>
      </c>
      <c r="F75" s="798">
        <v>65.7</v>
      </c>
      <c r="G75" s="145"/>
      <c r="H75" s="798">
        <v>59.1</v>
      </c>
      <c r="I75" s="798">
        <v>48.5</v>
      </c>
      <c r="J75" s="798">
        <v>50.5</v>
      </c>
      <c r="K75" s="798">
        <v>52</v>
      </c>
      <c r="L75" s="798">
        <v>64.7</v>
      </c>
      <c r="M75" s="145"/>
      <c r="N75" s="798">
        <v>58.8</v>
      </c>
      <c r="O75" s="798">
        <v>48.3</v>
      </c>
      <c r="P75" s="798">
        <v>50.2</v>
      </c>
      <c r="Q75" s="798">
        <v>51.7</v>
      </c>
      <c r="R75" s="798">
        <v>65.2</v>
      </c>
    </row>
    <row r="76" spans="1:18">
      <c r="A76" s="935">
        <v>40179</v>
      </c>
      <c r="B76" s="138">
        <v>76.8</v>
      </c>
      <c r="C76" s="138">
        <v>53.6</v>
      </c>
      <c r="D76" s="138">
        <v>54.4</v>
      </c>
      <c r="E76" s="138">
        <v>55.3</v>
      </c>
      <c r="F76" s="138">
        <v>66.7</v>
      </c>
      <c r="G76" s="145"/>
      <c r="H76" s="138">
        <v>76.099999999999994</v>
      </c>
      <c r="I76" s="138">
        <v>53.1</v>
      </c>
      <c r="J76" s="138">
        <v>54.4</v>
      </c>
      <c r="K76" s="138">
        <v>54.7</v>
      </c>
      <c r="L76" s="138">
        <v>65.8</v>
      </c>
      <c r="M76" s="145"/>
      <c r="N76" s="138">
        <v>75.8</v>
      </c>
      <c r="O76" s="138">
        <v>53</v>
      </c>
      <c r="P76" s="138">
        <v>54.4</v>
      </c>
      <c r="Q76" s="138">
        <v>54.5</v>
      </c>
      <c r="R76" s="138">
        <v>66</v>
      </c>
    </row>
    <row r="77" spans="1:18">
      <c r="A77" s="934">
        <v>40210</v>
      </c>
      <c r="B77" s="798">
        <v>103</v>
      </c>
      <c r="C77" s="798">
        <v>57.3</v>
      </c>
      <c r="D77" s="798">
        <v>56.4</v>
      </c>
      <c r="E77" s="798">
        <v>56.4</v>
      </c>
      <c r="F77" s="798">
        <v>71.400000000000006</v>
      </c>
      <c r="G77" s="145"/>
      <c r="H77" s="798">
        <v>102.2</v>
      </c>
      <c r="I77" s="798">
        <v>57.6</v>
      </c>
      <c r="J77" s="798">
        <v>56.7</v>
      </c>
      <c r="K77" s="798">
        <v>56.1</v>
      </c>
      <c r="L77" s="798">
        <v>71</v>
      </c>
      <c r="M77" s="145"/>
      <c r="N77" s="798">
        <v>101.9</v>
      </c>
      <c r="O77" s="798">
        <v>57.3</v>
      </c>
      <c r="P77" s="798">
        <v>56.4</v>
      </c>
      <c r="Q77" s="798">
        <v>55.8</v>
      </c>
      <c r="R77" s="798">
        <v>70.900000000000006</v>
      </c>
    </row>
    <row r="78" spans="1:18">
      <c r="A78" s="935">
        <v>40238</v>
      </c>
      <c r="B78" s="138">
        <v>67.2</v>
      </c>
      <c r="C78" s="138">
        <v>59.5</v>
      </c>
      <c r="D78" s="138">
        <v>56.9</v>
      </c>
      <c r="E78" s="138">
        <v>56.2</v>
      </c>
      <c r="F78" s="138">
        <v>75.900000000000006</v>
      </c>
      <c r="G78" s="145"/>
      <c r="H78" s="138">
        <v>66.5</v>
      </c>
      <c r="I78" s="138">
        <v>59.2</v>
      </c>
      <c r="J78" s="138">
        <v>56.5</v>
      </c>
      <c r="K78" s="138">
        <v>55.5</v>
      </c>
      <c r="L78" s="138">
        <v>74.900000000000006</v>
      </c>
      <c r="M78" s="145"/>
      <c r="N78" s="138">
        <v>66.099999999999994</v>
      </c>
      <c r="O78" s="138">
        <v>59.1</v>
      </c>
      <c r="P78" s="138">
        <v>56.2</v>
      </c>
      <c r="Q78" s="138">
        <v>55.1</v>
      </c>
      <c r="R78" s="138">
        <v>75</v>
      </c>
    </row>
    <row r="79" spans="1:18">
      <c r="A79" s="934">
        <v>40269</v>
      </c>
      <c r="B79" s="798">
        <v>52.3</v>
      </c>
      <c r="C79" s="798">
        <v>55.8</v>
      </c>
      <c r="D79" s="798">
        <v>54.3</v>
      </c>
      <c r="E79" s="798">
        <v>53.9</v>
      </c>
      <c r="F79" s="798">
        <v>76.8</v>
      </c>
      <c r="G79" s="145"/>
      <c r="H79" s="798">
        <v>51.6</v>
      </c>
      <c r="I79" s="798">
        <v>54.8</v>
      </c>
      <c r="J79" s="798">
        <v>52.9</v>
      </c>
      <c r="K79" s="798">
        <v>53</v>
      </c>
      <c r="L79" s="798">
        <v>76.3</v>
      </c>
      <c r="M79" s="145"/>
      <c r="N79" s="798">
        <v>51.1</v>
      </c>
      <c r="O79" s="798">
        <v>54.4</v>
      </c>
      <c r="P79" s="798">
        <v>52.3</v>
      </c>
      <c r="Q79" s="798">
        <v>52.4</v>
      </c>
      <c r="R79" s="798">
        <v>75.5</v>
      </c>
    </row>
    <row r="80" spans="1:18">
      <c r="A80" s="935">
        <v>40299</v>
      </c>
      <c r="B80" s="138">
        <v>47.8</v>
      </c>
      <c r="C80" s="138">
        <v>57.4</v>
      </c>
      <c r="D80" s="138">
        <v>55.6</v>
      </c>
      <c r="E80" s="138">
        <v>55.2</v>
      </c>
      <c r="F80" s="138">
        <v>75.8</v>
      </c>
      <c r="G80" s="145"/>
      <c r="H80" s="138">
        <v>47</v>
      </c>
      <c r="I80" s="138">
        <v>56.8</v>
      </c>
      <c r="J80" s="138">
        <v>55.4</v>
      </c>
      <c r="K80" s="138">
        <v>54.6</v>
      </c>
      <c r="L80" s="138">
        <v>75.7</v>
      </c>
      <c r="M80" s="145"/>
      <c r="N80" s="138">
        <v>46.7</v>
      </c>
      <c r="O80" s="138">
        <v>56.5</v>
      </c>
      <c r="P80" s="138">
        <v>55.2</v>
      </c>
      <c r="Q80" s="138">
        <v>54.3</v>
      </c>
      <c r="R80" s="138">
        <v>74.900000000000006</v>
      </c>
    </row>
    <row r="81" spans="1:18">
      <c r="A81" s="934">
        <v>40330</v>
      </c>
      <c r="B81" s="798">
        <v>49.5</v>
      </c>
      <c r="C81" s="798">
        <v>58.6</v>
      </c>
      <c r="D81" s="798">
        <v>56.5</v>
      </c>
      <c r="E81" s="798">
        <v>55.6</v>
      </c>
      <c r="F81" s="798">
        <v>73.7</v>
      </c>
      <c r="G81" s="145"/>
      <c r="H81" s="798">
        <v>48.8</v>
      </c>
      <c r="I81" s="798">
        <v>58.4</v>
      </c>
      <c r="J81" s="798">
        <v>56.4</v>
      </c>
      <c r="K81" s="798">
        <v>55.1</v>
      </c>
      <c r="L81" s="798">
        <v>73.3</v>
      </c>
      <c r="M81" s="145"/>
      <c r="N81" s="798">
        <v>48.4</v>
      </c>
      <c r="O81" s="798">
        <v>58.3</v>
      </c>
      <c r="P81" s="798">
        <v>56.1</v>
      </c>
      <c r="Q81" s="798">
        <v>54.9</v>
      </c>
      <c r="R81" s="798">
        <v>73</v>
      </c>
    </row>
    <row r="82" spans="1:18">
      <c r="A82" s="935">
        <v>40360</v>
      </c>
      <c r="B82" s="138">
        <v>52.6</v>
      </c>
      <c r="C82" s="138">
        <v>58.5</v>
      </c>
      <c r="D82" s="138">
        <v>56.6</v>
      </c>
      <c r="E82" s="138">
        <v>55.5</v>
      </c>
      <c r="F82" s="138">
        <v>73.900000000000006</v>
      </c>
      <c r="G82" s="145"/>
      <c r="H82" s="138">
        <v>51.8</v>
      </c>
      <c r="I82" s="138">
        <v>57.7</v>
      </c>
      <c r="J82" s="138">
        <v>55.8</v>
      </c>
      <c r="K82" s="138">
        <v>54.8</v>
      </c>
      <c r="L82" s="138">
        <v>73.099999999999994</v>
      </c>
      <c r="M82" s="145"/>
      <c r="N82" s="138">
        <v>51.5</v>
      </c>
      <c r="O82" s="138">
        <v>57.2</v>
      </c>
      <c r="P82" s="138">
        <v>55.3</v>
      </c>
      <c r="Q82" s="138">
        <v>54.4</v>
      </c>
      <c r="R82" s="138">
        <v>73.099999999999994</v>
      </c>
    </row>
    <row r="83" spans="1:18">
      <c r="A83" s="934">
        <v>40391</v>
      </c>
      <c r="B83" s="798">
        <v>49.7</v>
      </c>
      <c r="C83" s="798">
        <v>55.7</v>
      </c>
      <c r="D83" s="798">
        <v>54.4</v>
      </c>
      <c r="E83" s="798">
        <v>54</v>
      </c>
      <c r="F83" s="798">
        <v>73.2</v>
      </c>
      <c r="G83" s="145"/>
      <c r="H83" s="798">
        <v>48.9</v>
      </c>
      <c r="I83" s="798">
        <v>54.5</v>
      </c>
      <c r="J83" s="798">
        <v>53.2</v>
      </c>
      <c r="K83" s="798">
        <v>53.1</v>
      </c>
      <c r="L83" s="798">
        <v>72</v>
      </c>
      <c r="M83" s="145"/>
      <c r="N83" s="798">
        <v>48.6</v>
      </c>
      <c r="O83" s="798">
        <v>54</v>
      </c>
      <c r="P83" s="798">
        <v>52.7</v>
      </c>
      <c r="Q83" s="798">
        <v>52.7</v>
      </c>
      <c r="R83" s="798">
        <v>71.900000000000006</v>
      </c>
    </row>
    <row r="84" spans="1:18">
      <c r="A84" s="935">
        <v>40422</v>
      </c>
      <c r="B84" s="138">
        <v>56.2</v>
      </c>
      <c r="C84" s="138">
        <v>55.9</v>
      </c>
      <c r="D84" s="138">
        <v>54.9</v>
      </c>
      <c r="E84" s="138">
        <v>54.1</v>
      </c>
      <c r="F84" s="138">
        <v>74</v>
      </c>
      <c r="G84" s="145"/>
      <c r="H84" s="138">
        <v>55.4</v>
      </c>
      <c r="I84" s="138">
        <v>55</v>
      </c>
      <c r="J84" s="138">
        <v>54.1</v>
      </c>
      <c r="K84" s="138">
        <v>53.4</v>
      </c>
      <c r="L84" s="138">
        <v>72.5</v>
      </c>
      <c r="M84" s="145"/>
      <c r="N84" s="138">
        <v>55.1</v>
      </c>
      <c r="O84" s="138">
        <v>54.6</v>
      </c>
      <c r="P84" s="138">
        <v>53.6</v>
      </c>
      <c r="Q84" s="138">
        <v>53</v>
      </c>
      <c r="R84" s="138">
        <v>72.5</v>
      </c>
    </row>
    <row r="85" spans="1:18">
      <c r="A85" s="934">
        <v>40452</v>
      </c>
      <c r="B85" s="798">
        <v>56.4</v>
      </c>
      <c r="C85" s="798">
        <v>55.2</v>
      </c>
      <c r="D85" s="798">
        <v>53.9</v>
      </c>
      <c r="E85" s="798">
        <v>53.3</v>
      </c>
      <c r="F85" s="798">
        <v>74.5</v>
      </c>
      <c r="G85" s="145"/>
      <c r="H85" s="798">
        <v>55.6</v>
      </c>
      <c r="I85" s="798">
        <v>54.4</v>
      </c>
      <c r="J85" s="798">
        <v>53.1</v>
      </c>
      <c r="K85" s="798">
        <v>52.7</v>
      </c>
      <c r="L85" s="798">
        <v>73.2</v>
      </c>
      <c r="M85" s="145"/>
      <c r="N85" s="798">
        <v>55.3</v>
      </c>
      <c r="O85" s="798">
        <v>54.1</v>
      </c>
      <c r="P85" s="798">
        <v>52.6</v>
      </c>
      <c r="Q85" s="798">
        <v>52.4</v>
      </c>
      <c r="R85" s="798">
        <v>72.900000000000006</v>
      </c>
    </row>
    <row r="86" spans="1:18">
      <c r="A86" s="935">
        <v>40483</v>
      </c>
      <c r="B86" s="138">
        <v>61.5</v>
      </c>
      <c r="C86" s="138">
        <v>55.3</v>
      </c>
      <c r="D86" s="138">
        <v>54.3</v>
      </c>
      <c r="E86" s="138">
        <v>53.4</v>
      </c>
      <c r="F86" s="138">
        <v>74.7</v>
      </c>
      <c r="G86" s="145"/>
      <c r="H86" s="138">
        <v>60.7</v>
      </c>
      <c r="I86" s="138">
        <v>54.4</v>
      </c>
      <c r="J86" s="138">
        <v>53.4</v>
      </c>
      <c r="K86" s="138">
        <v>52.8</v>
      </c>
      <c r="L86" s="138">
        <v>73.3</v>
      </c>
      <c r="M86" s="145"/>
      <c r="N86" s="138">
        <v>60.4</v>
      </c>
      <c r="O86" s="138">
        <v>53.9</v>
      </c>
      <c r="P86" s="138">
        <v>52.8</v>
      </c>
      <c r="Q86" s="138">
        <v>52.4</v>
      </c>
      <c r="R86" s="138">
        <v>73.099999999999994</v>
      </c>
    </row>
    <row r="87" spans="1:18">
      <c r="A87" s="934">
        <v>40513</v>
      </c>
      <c r="B87" s="798">
        <v>92.3</v>
      </c>
      <c r="C87" s="798">
        <v>59.4</v>
      </c>
      <c r="D87" s="798">
        <v>57.6</v>
      </c>
      <c r="E87" s="798">
        <v>55.6</v>
      </c>
      <c r="F87" s="798">
        <v>77</v>
      </c>
      <c r="G87" s="145"/>
      <c r="H87" s="798">
        <v>91.6</v>
      </c>
      <c r="I87" s="798">
        <v>58.8</v>
      </c>
      <c r="J87" s="798">
        <v>56.4</v>
      </c>
      <c r="K87" s="798">
        <v>55.1</v>
      </c>
      <c r="L87" s="798">
        <v>76.2</v>
      </c>
      <c r="M87" s="145"/>
      <c r="N87" s="798">
        <v>91.3</v>
      </c>
      <c r="O87" s="798">
        <v>58.2</v>
      </c>
      <c r="P87" s="798">
        <v>55.9</v>
      </c>
      <c r="Q87" s="798">
        <v>54.6</v>
      </c>
      <c r="R87" s="798">
        <v>76.2</v>
      </c>
    </row>
    <row r="88" spans="1:18">
      <c r="A88" s="935">
        <v>40544</v>
      </c>
      <c r="B88" s="138">
        <v>71.099999999999994</v>
      </c>
      <c r="C88" s="138">
        <v>64.8</v>
      </c>
      <c r="D88" s="138">
        <v>61.3</v>
      </c>
      <c r="E88" s="138">
        <v>59.2</v>
      </c>
      <c r="F88" s="138">
        <v>87.9</v>
      </c>
      <c r="G88" s="145"/>
      <c r="H88" s="138">
        <v>70.400000000000006</v>
      </c>
      <c r="I88" s="138">
        <v>64.599999999999994</v>
      </c>
      <c r="J88" s="138">
        <v>60.9</v>
      </c>
      <c r="K88" s="138">
        <v>58.8</v>
      </c>
      <c r="L88" s="138">
        <v>86.8</v>
      </c>
      <c r="M88" s="145"/>
      <c r="N88" s="138">
        <v>70.099999999999994</v>
      </c>
      <c r="O88" s="138">
        <v>63.7</v>
      </c>
      <c r="P88" s="138">
        <v>60.4</v>
      </c>
      <c r="Q88" s="138">
        <v>58.5</v>
      </c>
      <c r="R88" s="138">
        <v>85.5</v>
      </c>
    </row>
    <row r="89" spans="1:18">
      <c r="A89" s="934">
        <v>40575</v>
      </c>
      <c r="B89" s="798">
        <v>65.5</v>
      </c>
      <c r="C89" s="798">
        <v>60.4</v>
      </c>
      <c r="D89" s="798">
        <v>58.5</v>
      </c>
      <c r="E89" s="798">
        <v>56.9</v>
      </c>
      <c r="F89" s="798">
        <v>87.3</v>
      </c>
      <c r="G89" s="145"/>
      <c r="H89" s="798">
        <v>64.900000000000006</v>
      </c>
      <c r="I89" s="798">
        <v>59.2</v>
      </c>
      <c r="J89" s="798">
        <v>57.4</v>
      </c>
      <c r="K89" s="798">
        <v>56.1</v>
      </c>
      <c r="L89" s="798">
        <v>86.4</v>
      </c>
      <c r="M89" s="145"/>
      <c r="N89" s="798">
        <v>64.5</v>
      </c>
      <c r="O89" s="798">
        <v>59</v>
      </c>
      <c r="P89" s="798">
        <v>57.1</v>
      </c>
      <c r="Q89" s="798">
        <v>55.9</v>
      </c>
      <c r="R89" s="798">
        <v>85.2</v>
      </c>
    </row>
    <row r="90" spans="1:18">
      <c r="A90" s="935">
        <v>40603</v>
      </c>
      <c r="B90" s="138">
        <v>65</v>
      </c>
      <c r="C90" s="138">
        <v>59.7</v>
      </c>
      <c r="D90" s="138">
        <v>58.1</v>
      </c>
      <c r="E90" s="138">
        <v>56.6</v>
      </c>
      <c r="F90" s="138">
        <v>86.4</v>
      </c>
      <c r="G90" s="145"/>
      <c r="H90" s="138">
        <v>64.099999999999994</v>
      </c>
      <c r="I90" s="138">
        <v>58.8</v>
      </c>
      <c r="J90" s="138">
        <v>57.1</v>
      </c>
      <c r="K90" s="138">
        <v>55.7</v>
      </c>
      <c r="L90" s="138">
        <v>85.1</v>
      </c>
      <c r="M90" s="145"/>
      <c r="N90" s="138">
        <v>63.8</v>
      </c>
      <c r="O90" s="138">
        <v>58.4</v>
      </c>
      <c r="P90" s="138">
        <v>56.5</v>
      </c>
      <c r="Q90" s="138">
        <v>55.4</v>
      </c>
      <c r="R90" s="138">
        <v>84.2</v>
      </c>
    </row>
    <row r="91" spans="1:18">
      <c r="A91" s="934">
        <v>40634</v>
      </c>
      <c r="B91" s="798">
        <v>56.6</v>
      </c>
      <c r="C91" s="798">
        <v>61.7</v>
      </c>
      <c r="D91" s="798">
        <v>59.1</v>
      </c>
      <c r="E91" s="798">
        <v>58</v>
      </c>
      <c r="F91" s="798">
        <v>84.5</v>
      </c>
      <c r="G91" s="145"/>
      <c r="H91" s="798">
        <v>55.8</v>
      </c>
      <c r="I91" s="798">
        <v>61.1</v>
      </c>
      <c r="J91" s="798">
        <v>58.8</v>
      </c>
      <c r="K91" s="798">
        <v>57.4</v>
      </c>
      <c r="L91" s="798">
        <v>83.8</v>
      </c>
      <c r="M91" s="145"/>
      <c r="N91" s="798">
        <v>55.4</v>
      </c>
      <c r="O91" s="798">
        <v>60.6</v>
      </c>
      <c r="P91" s="798">
        <v>58.3</v>
      </c>
      <c r="Q91" s="798">
        <v>57.1</v>
      </c>
      <c r="R91" s="798">
        <v>83</v>
      </c>
    </row>
    <row r="92" spans="1:18">
      <c r="A92" s="935">
        <v>40664</v>
      </c>
      <c r="B92" s="138">
        <v>57.3</v>
      </c>
      <c r="C92" s="138">
        <v>63.6</v>
      </c>
      <c r="D92" s="138">
        <v>60.6</v>
      </c>
      <c r="E92" s="138">
        <v>59.3</v>
      </c>
      <c r="F92" s="138">
        <v>81.5</v>
      </c>
      <c r="G92" s="145"/>
      <c r="H92" s="138">
        <v>56.4</v>
      </c>
      <c r="I92" s="138">
        <v>62.9</v>
      </c>
      <c r="J92" s="138">
        <v>60.2</v>
      </c>
      <c r="K92" s="138">
        <v>58.8</v>
      </c>
      <c r="L92" s="138">
        <v>80.3</v>
      </c>
      <c r="M92" s="145"/>
      <c r="N92" s="138">
        <v>56</v>
      </c>
      <c r="O92" s="138">
        <v>62.7</v>
      </c>
      <c r="P92" s="138">
        <v>59.8</v>
      </c>
      <c r="Q92" s="138">
        <v>58.5</v>
      </c>
      <c r="R92" s="138">
        <v>80.099999999999994</v>
      </c>
    </row>
    <row r="93" spans="1:18">
      <c r="A93" s="934">
        <v>40695</v>
      </c>
      <c r="B93" s="798">
        <v>52.5</v>
      </c>
      <c r="C93" s="798">
        <v>62.6</v>
      </c>
      <c r="D93" s="798">
        <v>60.4</v>
      </c>
      <c r="E93" s="798">
        <v>59.2</v>
      </c>
      <c r="F93" s="798">
        <v>80.599999999999994</v>
      </c>
      <c r="G93" s="145"/>
      <c r="H93" s="798">
        <v>51.6</v>
      </c>
      <c r="I93" s="798">
        <v>62</v>
      </c>
      <c r="J93" s="798">
        <v>60.1</v>
      </c>
      <c r="K93" s="798">
        <v>58.8</v>
      </c>
      <c r="L93" s="798">
        <v>79.2</v>
      </c>
      <c r="M93" s="145"/>
      <c r="N93" s="798">
        <v>51.3</v>
      </c>
      <c r="O93" s="798">
        <v>61.6</v>
      </c>
      <c r="P93" s="798">
        <v>59.6</v>
      </c>
      <c r="Q93" s="798">
        <v>58.5</v>
      </c>
      <c r="R93" s="798">
        <v>78.900000000000006</v>
      </c>
    </row>
    <row r="94" spans="1:18">
      <c r="A94" s="935">
        <v>40725</v>
      </c>
      <c r="B94" s="138">
        <v>44.4</v>
      </c>
      <c r="C94" s="138">
        <v>59.7</v>
      </c>
      <c r="D94" s="138">
        <v>58.8</v>
      </c>
      <c r="E94" s="138">
        <v>58.4</v>
      </c>
      <c r="F94" s="138">
        <v>78.400000000000006</v>
      </c>
      <c r="G94" s="145"/>
      <c r="H94" s="138">
        <v>43.5</v>
      </c>
      <c r="I94" s="138">
        <v>58.6</v>
      </c>
      <c r="J94" s="138">
        <v>58.3</v>
      </c>
      <c r="K94" s="138">
        <v>57.6</v>
      </c>
      <c r="L94" s="138">
        <v>76.7</v>
      </c>
      <c r="M94" s="145"/>
      <c r="N94" s="138">
        <v>43.3</v>
      </c>
      <c r="O94" s="138">
        <v>58.4</v>
      </c>
      <c r="P94" s="138">
        <v>58</v>
      </c>
      <c r="Q94" s="138">
        <v>57.3</v>
      </c>
      <c r="R94" s="138">
        <v>76.7</v>
      </c>
    </row>
    <row r="95" spans="1:18">
      <c r="A95" s="934">
        <v>40756</v>
      </c>
      <c r="B95" s="798">
        <v>46.9</v>
      </c>
      <c r="C95" s="798">
        <v>58.3</v>
      </c>
      <c r="D95" s="798">
        <v>58</v>
      </c>
      <c r="E95" s="798">
        <v>57.7</v>
      </c>
      <c r="F95" s="798">
        <v>77.7</v>
      </c>
      <c r="G95" s="145"/>
      <c r="H95" s="798">
        <v>46</v>
      </c>
      <c r="I95" s="798">
        <v>57.6</v>
      </c>
      <c r="J95" s="798">
        <v>57.6</v>
      </c>
      <c r="K95" s="798">
        <v>57</v>
      </c>
      <c r="L95" s="798">
        <v>76.099999999999994</v>
      </c>
      <c r="M95" s="145"/>
      <c r="N95" s="798">
        <v>45.7</v>
      </c>
      <c r="O95" s="798">
        <v>57.2</v>
      </c>
      <c r="P95" s="798">
        <v>57.1</v>
      </c>
      <c r="Q95" s="798">
        <v>56.7</v>
      </c>
      <c r="R95" s="798">
        <v>76.5</v>
      </c>
    </row>
    <row r="96" spans="1:18">
      <c r="A96" s="935">
        <v>40787</v>
      </c>
      <c r="B96" s="138">
        <v>37.5</v>
      </c>
      <c r="C96" s="138">
        <v>58</v>
      </c>
      <c r="D96" s="138">
        <v>57.4</v>
      </c>
      <c r="E96" s="138">
        <v>57.2</v>
      </c>
      <c r="F96" s="138">
        <v>76.8</v>
      </c>
      <c r="G96" s="145"/>
      <c r="H96" s="138">
        <v>36.5</v>
      </c>
      <c r="I96" s="138">
        <v>57.4</v>
      </c>
      <c r="J96" s="138">
        <v>57.2</v>
      </c>
      <c r="K96" s="138">
        <v>56.7</v>
      </c>
      <c r="L96" s="138">
        <v>74.7</v>
      </c>
      <c r="M96" s="145"/>
      <c r="N96" s="138">
        <v>36.200000000000003</v>
      </c>
      <c r="O96" s="138">
        <v>57.1</v>
      </c>
      <c r="P96" s="138">
        <v>56.8</v>
      </c>
      <c r="Q96" s="138">
        <v>56.4</v>
      </c>
      <c r="R96" s="138">
        <v>75.2</v>
      </c>
    </row>
    <row r="97" spans="1:18">
      <c r="A97" s="934">
        <v>40817</v>
      </c>
      <c r="B97" s="798">
        <v>36</v>
      </c>
      <c r="C97" s="798">
        <v>56.8</v>
      </c>
      <c r="D97" s="798">
        <v>56</v>
      </c>
      <c r="E97" s="798">
        <v>56.2</v>
      </c>
      <c r="F97" s="798">
        <v>76.7</v>
      </c>
      <c r="G97" s="145"/>
      <c r="H97" s="798">
        <v>35.200000000000003</v>
      </c>
      <c r="I97" s="798">
        <v>56.1</v>
      </c>
      <c r="J97" s="798">
        <v>55.8</v>
      </c>
      <c r="K97" s="798">
        <v>55.6</v>
      </c>
      <c r="L97" s="798">
        <v>74.900000000000006</v>
      </c>
      <c r="M97" s="145"/>
      <c r="N97" s="798">
        <v>34.799999999999997</v>
      </c>
      <c r="O97" s="798">
        <v>55.6</v>
      </c>
      <c r="P97" s="798">
        <v>55.4</v>
      </c>
      <c r="Q97" s="798">
        <v>55.2</v>
      </c>
      <c r="R97" s="798">
        <v>75.2</v>
      </c>
    </row>
    <row r="98" spans="1:18">
      <c r="A98" s="935">
        <v>40848</v>
      </c>
      <c r="B98" s="138">
        <v>49.8</v>
      </c>
      <c r="C98" s="138">
        <v>54.9</v>
      </c>
      <c r="D98" s="138">
        <v>54.9</v>
      </c>
      <c r="E98" s="138">
        <v>54.7</v>
      </c>
      <c r="F98" s="138">
        <v>77.400000000000006</v>
      </c>
      <c r="G98" s="145"/>
      <c r="H98" s="138">
        <v>48.9</v>
      </c>
      <c r="I98" s="138">
        <v>54.4</v>
      </c>
      <c r="J98" s="138">
        <v>54.2</v>
      </c>
      <c r="K98" s="138">
        <v>54.1</v>
      </c>
      <c r="L98" s="138">
        <v>75.599999999999994</v>
      </c>
      <c r="M98" s="145"/>
      <c r="N98" s="138">
        <v>48.5</v>
      </c>
      <c r="O98" s="138">
        <v>53.8</v>
      </c>
      <c r="P98" s="138">
        <v>53.8</v>
      </c>
      <c r="Q98" s="138">
        <v>53.8</v>
      </c>
      <c r="R98" s="138">
        <v>75.900000000000006</v>
      </c>
    </row>
    <row r="99" spans="1:18">
      <c r="A99" s="934">
        <v>40878</v>
      </c>
      <c r="B99" s="798">
        <v>38.9</v>
      </c>
      <c r="C99" s="798">
        <v>53.7</v>
      </c>
      <c r="D99" s="798">
        <v>53.8</v>
      </c>
      <c r="E99" s="798">
        <v>54.1</v>
      </c>
      <c r="F99" s="798">
        <v>77</v>
      </c>
      <c r="G99" s="145"/>
      <c r="H99" s="798">
        <v>38</v>
      </c>
      <c r="I99" s="798">
        <v>52.8</v>
      </c>
      <c r="J99" s="798">
        <v>53.2</v>
      </c>
      <c r="K99" s="798">
        <v>53.2</v>
      </c>
      <c r="L99" s="798">
        <v>75.5</v>
      </c>
      <c r="M99" s="145"/>
      <c r="N99" s="798">
        <v>37.700000000000003</v>
      </c>
      <c r="O99" s="798">
        <v>52.2</v>
      </c>
      <c r="P99" s="798">
        <v>52.8</v>
      </c>
      <c r="Q99" s="798">
        <v>52.8</v>
      </c>
      <c r="R99" s="798">
        <v>75.900000000000006</v>
      </c>
    </row>
    <row r="100" spans="1:18">
      <c r="A100" s="935">
        <v>40909</v>
      </c>
      <c r="B100" s="138">
        <v>42.1</v>
      </c>
      <c r="C100" s="138">
        <v>50.7</v>
      </c>
      <c r="D100" s="138">
        <v>51.8</v>
      </c>
      <c r="E100" s="138">
        <v>52</v>
      </c>
      <c r="F100" s="138">
        <v>77.3</v>
      </c>
      <c r="G100" s="145"/>
      <c r="H100" s="138">
        <v>41.2</v>
      </c>
      <c r="I100" s="138">
        <v>49.9</v>
      </c>
      <c r="J100" s="138">
        <v>51.1</v>
      </c>
      <c r="K100" s="138">
        <v>51.3</v>
      </c>
      <c r="L100" s="138">
        <v>75.7</v>
      </c>
      <c r="M100" s="145"/>
      <c r="N100" s="138">
        <v>40.9</v>
      </c>
      <c r="O100" s="138">
        <v>49.4</v>
      </c>
      <c r="P100" s="138">
        <v>50.8</v>
      </c>
      <c r="Q100" s="138">
        <v>51</v>
      </c>
      <c r="R100" s="138">
        <v>76</v>
      </c>
    </row>
    <row r="101" spans="1:18">
      <c r="A101" s="934">
        <v>40940</v>
      </c>
      <c r="B101" s="798">
        <v>55.9</v>
      </c>
      <c r="C101" s="798">
        <v>49.6</v>
      </c>
      <c r="D101" s="798">
        <v>50.8</v>
      </c>
      <c r="E101" s="798">
        <v>51.2</v>
      </c>
      <c r="F101" s="798">
        <v>78</v>
      </c>
      <c r="G101" s="145"/>
      <c r="H101" s="798">
        <v>55</v>
      </c>
      <c r="I101" s="798">
        <v>49.1</v>
      </c>
      <c r="J101" s="798">
        <v>50.2</v>
      </c>
      <c r="K101" s="798">
        <v>50.7</v>
      </c>
      <c r="L101" s="798">
        <v>76.599999999999994</v>
      </c>
      <c r="M101" s="145"/>
      <c r="N101" s="798">
        <v>54.7</v>
      </c>
      <c r="O101" s="798">
        <v>48.8</v>
      </c>
      <c r="P101" s="798">
        <v>49.9</v>
      </c>
      <c r="Q101" s="798">
        <v>50.5</v>
      </c>
      <c r="R101" s="798">
        <v>76.900000000000006</v>
      </c>
    </row>
    <row r="102" spans="1:18">
      <c r="A102" s="935">
        <v>40969</v>
      </c>
      <c r="B102" s="138">
        <v>34</v>
      </c>
      <c r="C102" s="138">
        <v>48.6</v>
      </c>
      <c r="D102" s="138">
        <v>49.8</v>
      </c>
      <c r="E102" s="138">
        <v>50.5</v>
      </c>
      <c r="F102" s="138">
        <v>75.599999999999994</v>
      </c>
      <c r="G102" s="145"/>
      <c r="H102" s="138">
        <v>32.9</v>
      </c>
      <c r="I102" s="138">
        <v>48.1</v>
      </c>
      <c r="J102" s="138">
        <v>49.5</v>
      </c>
      <c r="K102" s="138">
        <v>50</v>
      </c>
      <c r="L102" s="138">
        <v>74.2</v>
      </c>
      <c r="M102" s="145"/>
      <c r="N102" s="138">
        <v>32.6</v>
      </c>
      <c r="O102" s="138">
        <v>47.9</v>
      </c>
      <c r="P102" s="138">
        <v>49.2</v>
      </c>
      <c r="Q102" s="138">
        <v>49.7</v>
      </c>
      <c r="R102" s="138">
        <v>74.099999999999994</v>
      </c>
    </row>
    <row r="103" spans="1:18">
      <c r="A103" s="934">
        <v>41000</v>
      </c>
      <c r="B103" s="798">
        <v>35.799999999999997</v>
      </c>
      <c r="C103" s="798">
        <v>47.4</v>
      </c>
      <c r="D103" s="798">
        <v>48.7</v>
      </c>
      <c r="E103" s="798">
        <v>49.4</v>
      </c>
      <c r="F103" s="798">
        <v>71.400000000000006</v>
      </c>
      <c r="G103" s="145"/>
      <c r="H103" s="798">
        <v>34.799999999999997</v>
      </c>
      <c r="I103" s="798">
        <v>46.7</v>
      </c>
      <c r="J103" s="798">
        <v>47.9</v>
      </c>
      <c r="K103" s="798">
        <v>48.8</v>
      </c>
      <c r="L103" s="798">
        <v>69.8</v>
      </c>
      <c r="M103" s="145"/>
      <c r="N103" s="798">
        <v>34.5</v>
      </c>
      <c r="O103" s="798">
        <v>46.4</v>
      </c>
      <c r="P103" s="798">
        <v>47.7</v>
      </c>
      <c r="Q103" s="798">
        <v>48.5</v>
      </c>
      <c r="R103" s="798">
        <v>70.2</v>
      </c>
    </row>
    <row r="104" spans="1:18">
      <c r="A104" s="935">
        <v>41030</v>
      </c>
      <c r="B104" s="138">
        <v>35.200000000000003</v>
      </c>
      <c r="C104" s="138">
        <v>47</v>
      </c>
      <c r="D104" s="138">
        <v>48.2</v>
      </c>
      <c r="E104" s="138">
        <v>49</v>
      </c>
      <c r="F104" s="138">
        <v>70.5</v>
      </c>
      <c r="G104" s="145"/>
      <c r="H104" s="138">
        <v>34.299999999999997</v>
      </c>
      <c r="I104" s="138">
        <v>46.3</v>
      </c>
      <c r="J104" s="138">
        <v>47.5</v>
      </c>
      <c r="K104" s="138">
        <v>48.4</v>
      </c>
      <c r="L104" s="138">
        <v>68.7</v>
      </c>
      <c r="M104" s="145"/>
      <c r="N104" s="138">
        <v>34</v>
      </c>
      <c r="O104" s="138">
        <v>46</v>
      </c>
      <c r="P104" s="138">
        <v>47.3</v>
      </c>
      <c r="Q104" s="138">
        <v>48.2</v>
      </c>
      <c r="R104" s="138">
        <v>69</v>
      </c>
    </row>
    <row r="105" spans="1:18">
      <c r="A105" s="934">
        <v>41061</v>
      </c>
      <c r="B105" s="798">
        <v>33.6</v>
      </c>
      <c r="C105" s="798">
        <v>45.8</v>
      </c>
      <c r="D105" s="798">
        <v>47.2</v>
      </c>
      <c r="E105" s="798">
        <v>48</v>
      </c>
      <c r="F105" s="798">
        <v>68.900000000000006</v>
      </c>
      <c r="G105" s="145"/>
      <c r="H105" s="798">
        <v>32.700000000000003</v>
      </c>
      <c r="I105" s="798">
        <v>45.3</v>
      </c>
      <c r="J105" s="798">
        <v>46.6</v>
      </c>
      <c r="K105" s="798">
        <v>47.5</v>
      </c>
      <c r="L105" s="798">
        <v>66.8</v>
      </c>
      <c r="M105" s="145"/>
      <c r="N105" s="798">
        <v>32.5</v>
      </c>
      <c r="O105" s="798">
        <v>45.1</v>
      </c>
      <c r="P105" s="798">
        <v>46.4</v>
      </c>
      <c r="Q105" s="798">
        <v>47.3</v>
      </c>
      <c r="R105" s="798">
        <v>67.2</v>
      </c>
    </row>
    <row r="106" spans="1:18">
      <c r="A106" s="935">
        <v>41091</v>
      </c>
      <c r="B106" s="138">
        <v>20.5</v>
      </c>
      <c r="C106" s="138">
        <v>45.1</v>
      </c>
      <c r="D106" s="138">
        <v>46.3</v>
      </c>
      <c r="E106" s="138">
        <v>47</v>
      </c>
      <c r="F106" s="138">
        <v>67.5</v>
      </c>
      <c r="G106" s="145"/>
      <c r="H106" s="138">
        <v>19.600000000000001</v>
      </c>
      <c r="I106" s="138">
        <v>44.5</v>
      </c>
      <c r="J106" s="138">
        <v>45.8</v>
      </c>
      <c r="K106" s="138">
        <v>46.5</v>
      </c>
      <c r="L106" s="138">
        <v>65.5</v>
      </c>
      <c r="M106" s="145"/>
      <c r="N106" s="138">
        <v>19.3</v>
      </c>
      <c r="O106" s="138">
        <v>44.2</v>
      </c>
      <c r="P106" s="138">
        <v>45.6</v>
      </c>
      <c r="Q106" s="138">
        <v>46.2</v>
      </c>
      <c r="R106" s="138">
        <v>65.599999999999994</v>
      </c>
    </row>
    <row r="107" spans="1:18">
      <c r="A107" s="934">
        <v>41122</v>
      </c>
      <c r="B107" s="798">
        <v>30.4</v>
      </c>
      <c r="C107" s="798">
        <v>44.1</v>
      </c>
      <c r="D107" s="798">
        <v>45.8</v>
      </c>
      <c r="E107" s="798">
        <v>46.3</v>
      </c>
      <c r="F107" s="798">
        <v>67.3</v>
      </c>
      <c r="G107" s="145"/>
      <c r="H107" s="798">
        <v>29.4</v>
      </c>
      <c r="I107" s="798">
        <v>43.5</v>
      </c>
      <c r="J107" s="798">
        <v>45.2</v>
      </c>
      <c r="K107" s="798">
        <v>45.7</v>
      </c>
      <c r="L107" s="798">
        <v>65.5</v>
      </c>
      <c r="M107" s="145"/>
      <c r="N107" s="798">
        <v>29.2</v>
      </c>
      <c r="O107" s="798">
        <v>43.2</v>
      </c>
      <c r="P107" s="798">
        <v>44.9</v>
      </c>
      <c r="Q107" s="798">
        <v>45.5</v>
      </c>
      <c r="R107" s="798">
        <v>66.099999999999994</v>
      </c>
    </row>
    <row r="108" spans="1:18">
      <c r="A108" s="935">
        <v>41153</v>
      </c>
      <c r="B108" s="138">
        <v>33</v>
      </c>
      <c r="C108" s="138">
        <v>44.7</v>
      </c>
      <c r="D108" s="138">
        <v>46.1</v>
      </c>
      <c r="E108" s="138">
        <v>46.6</v>
      </c>
      <c r="F108" s="138">
        <v>67.5</v>
      </c>
      <c r="G108" s="145"/>
      <c r="H108" s="138">
        <v>32</v>
      </c>
      <c r="I108" s="138">
        <v>44.1</v>
      </c>
      <c r="J108" s="138">
        <v>45.6</v>
      </c>
      <c r="K108" s="138">
        <v>46</v>
      </c>
      <c r="L108" s="138">
        <v>65.8</v>
      </c>
      <c r="M108" s="145"/>
      <c r="N108" s="138">
        <v>31.7</v>
      </c>
      <c r="O108" s="138">
        <v>43.7</v>
      </c>
      <c r="P108" s="138">
        <v>45.2</v>
      </c>
      <c r="Q108" s="138">
        <v>45.7</v>
      </c>
      <c r="R108" s="138">
        <v>66.099999999999994</v>
      </c>
    </row>
    <row r="109" spans="1:18">
      <c r="A109" s="934">
        <v>41183</v>
      </c>
      <c r="B109" s="798">
        <v>38.1</v>
      </c>
      <c r="C109" s="798">
        <v>44.8</v>
      </c>
      <c r="D109" s="798">
        <v>46.3</v>
      </c>
      <c r="E109" s="798">
        <v>46.5</v>
      </c>
      <c r="F109" s="798">
        <v>67.7</v>
      </c>
      <c r="G109" s="145"/>
      <c r="H109" s="798">
        <v>37.1</v>
      </c>
      <c r="I109" s="798">
        <v>44.2</v>
      </c>
      <c r="J109" s="798">
        <v>45.7</v>
      </c>
      <c r="K109" s="798">
        <v>45.9</v>
      </c>
      <c r="L109" s="798">
        <v>66.099999999999994</v>
      </c>
      <c r="M109" s="145"/>
      <c r="N109" s="798">
        <v>36.799999999999997</v>
      </c>
      <c r="O109" s="798">
        <v>43.9</v>
      </c>
      <c r="P109" s="798">
        <v>45.4</v>
      </c>
      <c r="Q109" s="798">
        <v>45.6</v>
      </c>
      <c r="R109" s="798">
        <v>66.599999999999994</v>
      </c>
    </row>
    <row r="110" spans="1:18">
      <c r="A110" s="935">
        <v>41214</v>
      </c>
      <c r="B110" s="138">
        <v>37.200000000000003</v>
      </c>
      <c r="C110" s="138">
        <v>45.2</v>
      </c>
      <c r="D110" s="138">
        <v>46.5</v>
      </c>
      <c r="E110" s="138">
        <v>46.9</v>
      </c>
      <c r="F110" s="138">
        <v>68.2</v>
      </c>
      <c r="G110" s="145"/>
      <c r="H110" s="138">
        <v>36.299999999999997</v>
      </c>
      <c r="I110" s="138">
        <v>44.4</v>
      </c>
      <c r="J110" s="138">
        <v>45.9</v>
      </c>
      <c r="K110" s="138">
        <v>46.1</v>
      </c>
      <c r="L110" s="138">
        <v>66.900000000000006</v>
      </c>
      <c r="M110" s="145"/>
      <c r="N110" s="138">
        <v>35.9</v>
      </c>
      <c r="O110" s="138">
        <v>44.1</v>
      </c>
      <c r="P110" s="138">
        <v>45.7</v>
      </c>
      <c r="Q110" s="138">
        <v>45.8</v>
      </c>
      <c r="R110" s="138">
        <v>67.2</v>
      </c>
    </row>
    <row r="111" spans="1:18">
      <c r="A111" s="934">
        <v>41244</v>
      </c>
      <c r="B111" s="798">
        <v>47</v>
      </c>
      <c r="C111" s="798">
        <v>45.6</v>
      </c>
      <c r="D111" s="798">
        <v>46.9</v>
      </c>
      <c r="E111" s="798">
        <v>47.2</v>
      </c>
      <c r="F111" s="798">
        <v>69.5</v>
      </c>
      <c r="G111" s="145"/>
      <c r="H111" s="798">
        <v>46.1</v>
      </c>
      <c r="I111" s="798">
        <v>44.9</v>
      </c>
      <c r="J111" s="798">
        <v>46.3</v>
      </c>
      <c r="K111" s="798">
        <v>46.4</v>
      </c>
      <c r="L111" s="798">
        <v>68.400000000000006</v>
      </c>
      <c r="M111" s="145"/>
      <c r="N111" s="798">
        <v>45.7</v>
      </c>
      <c r="O111" s="798">
        <v>44.7</v>
      </c>
      <c r="P111" s="798">
        <v>46.1</v>
      </c>
      <c r="Q111" s="798">
        <v>46.2</v>
      </c>
      <c r="R111" s="798">
        <v>69</v>
      </c>
    </row>
    <row r="112" spans="1:18">
      <c r="A112" s="935">
        <v>41275</v>
      </c>
      <c r="B112" s="138">
        <v>45</v>
      </c>
      <c r="C112" s="138">
        <v>45.9</v>
      </c>
      <c r="D112" s="138">
        <v>46.7</v>
      </c>
      <c r="E112" s="138">
        <v>47.3</v>
      </c>
      <c r="F112" s="138">
        <v>69.3</v>
      </c>
      <c r="G112" s="145"/>
      <c r="H112" s="138">
        <v>44</v>
      </c>
      <c r="I112" s="138">
        <v>45.3</v>
      </c>
      <c r="J112" s="138">
        <v>46.2</v>
      </c>
      <c r="K112" s="138">
        <v>46.3</v>
      </c>
      <c r="L112" s="138">
        <v>68.5</v>
      </c>
      <c r="M112" s="145"/>
      <c r="N112" s="138">
        <v>43.7</v>
      </c>
      <c r="O112" s="138">
        <v>45</v>
      </c>
      <c r="P112" s="138">
        <v>45.9</v>
      </c>
      <c r="Q112" s="138">
        <v>46</v>
      </c>
      <c r="R112" s="138">
        <v>68.7</v>
      </c>
    </row>
    <row r="113" spans="1:38">
      <c r="A113" s="934">
        <v>41306</v>
      </c>
      <c r="B113" s="798">
        <v>41.4</v>
      </c>
      <c r="C113" s="798">
        <v>45.7</v>
      </c>
      <c r="D113" s="798">
        <v>46.3</v>
      </c>
      <c r="E113" s="798">
        <v>46.2</v>
      </c>
      <c r="F113" s="798">
        <v>69.3</v>
      </c>
      <c r="G113" s="145"/>
      <c r="H113" s="798">
        <v>40.4</v>
      </c>
      <c r="I113" s="798">
        <v>44.8</v>
      </c>
      <c r="J113" s="798">
        <v>45.3</v>
      </c>
      <c r="K113" s="798">
        <v>45.1</v>
      </c>
      <c r="L113" s="798">
        <v>68</v>
      </c>
      <c r="M113" s="145"/>
      <c r="N113" s="798">
        <v>40.1</v>
      </c>
      <c r="O113" s="798">
        <v>44.5</v>
      </c>
      <c r="P113" s="798">
        <v>45</v>
      </c>
      <c r="Q113" s="798">
        <v>44.8</v>
      </c>
      <c r="R113" s="798">
        <v>68.2</v>
      </c>
    </row>
    <row r="114" spans="1:38">
      <c r="A114" s="935">
        <v>41334</v>
      </c>
      <c r="B114" s="138">
        <v>44.9</v>
      </c>
      <c r="C114" s="138">
        <v>45.3</v>
      </c>
      <c r="D114" s="138">
        <v>45.5</v>
      </c>
      <c r="E114" s="138">
        <v>45.2</v>
      </c>
      <c r="F114" s="138">
        <v>69</v>
      </c>
      <c r="G114" s="145"/>
      <c r="H114" s="138">
        <v>44</v>
      </c>
      <c r="I114" s="138">
        <v>44.4</v>
      </c>
      <c r="J114" s="138">
        <v>44.6</v>
      </c>
      <c r="K114" s="138">
        <v>44.3</v>
      </c>
      <c r="L114" s="138">
        <v>67.900000000000006</v>
      </c>
      <c r="M114" s="145"/>
      <c r="N114" s="138">
        <v>43.6</v>
      </c>
      <c r="O114" s="138">
        <v>44.1</v>
      </c>
      <c r="P114" s="138">
        <v>44.4</v>
      </c>
      <c r="Q114" s="138">
        <v>44</v>
      </c>
      <c r="R114" s="138">
        <v>68.2</v>
      </c>
    </row>
    <row r="115" spans="1:38" s="301" customFormat="1">
      <c r="A115" s="934">
        <v>41365</v>
      </c>
      <c r="B115" s="798">
        <v>44.813333333000003</v>
      </c>
      <c r="C115" s="798">
        <v>45.262254901960787</v>
      </c>
      <c r="D115" s="798">
        <v>44.567333333333352</v>
      </c>
      <c r="E115" s="798">
        <v>44.356296296296307</v>
      </c>
      <c r="F115" s="798">
        <v>68.38322222222223</v>
      </c>
      <c r="G115" s="145"/>
      <c r="H115" s="798">
        <v>44.205578946999999</v>
      </c>
      <c r="I115" s="798">
        <v>44.594898305084754</v>
      </c>
      <c r="J115" s="798">
        <v>43.886214285714296</v>
      </c>
      <c r="K115" s="798">
        <v>43.717690909090912</v>
      </c>
      <c r="L115" s="798">
        <v>67.671499999999995</v>
      </c>
      <c r="M115" s="145"/>
      <c r="N115" s="798">
        <v>44.037525713999997</v>
      </c>
      <c r="O115" s="798">
        <v>44.53616000000001</v>
      </c>
      <c r="P115" s="798">
        <v>43.608904761904761</v>
      </c>
      <c r="Q115" s="798">
        <v>43.567761904761916</v>
      </c>
      <c r="R115" s="798">
        <v>66.99931868131867</v>
      </c>
      <c r="S115" s="549"/>
      <c r="T115" s="549"/>
      <c r="U115" s="549"/>
      <c r="V115" s="549"/>
      <c r="W115" s="549"/>
      <c r="X115" s="549"/>
      <c r="Y115" s="549"/>
      <c r="Z115" s="549"/>
      <c r="AA115" s="549"/>
      <c r="AB115" s="549"/>
      <c r="AC115" s="549"/>
      <c r="AD115" s="549"/>
      <c r="AE115" s="549"/>
      <c r="AF115" s="549"/>
      <c r="AG115" s="549"/>
      <c r="AH115" s="549"/>
      <c r="AI115" s="549"/>
      <c r="AJ115" s="549"/>
      <c r="AK115" s="549"/>
      <c r="AL115" s="549"/>
    </row>
    <row r="116" spans="1:38">
      <c r="A116" s="935">
        <v>41395</v>
      </c>
      <c r="B116" s="138">
        <v>38.793794871999999</v>
      </c>
      <c r="C116" s="138">
        <v>44.705857142857141</v>
      </c>
      <c r="D116" s="138">
        <v>44.289455782312935</v>
      </c>
      <c r="E116" s="138">
        <v>43.991589743589749</v>
      </c>
      <c r="F116" s="138">
        <v>68.489462365591379</v>
      </c>
      <c r="G116" s="145"/>
      <c r="H116" s="138">
        <v>38.172413792999997</v>
      </c>
      <c r="I116" s="138">
        <v>44.039950819672129</v>
      </c>
      <c r="J116" s="138">
        <v>43.600170731707323</v>
      </c>
      <c r="K116" s="138">
        <v>43.36984210526316</v>
      </c>
      <c r="L116" s="138">
        <v>67.784783333333337</v>
      </c>
      <c r="M116" s="145"/>
      <c r="N116" s="138">
        <v>38.028508571000003</v>
      </c>
      <c r="O116" s="138">
        <v>44.005335164835159</v>
      </c>
      <c r="P116" s="138">
        <v>43.327616326530624</v>
      </c>
      <c r="Q116" s="138">
        <v>43.282532212885151</v>
      </c>
      <c r="R116" s="138">
        <v>67.120984126984126</v>
      </c>
    </row>
    <row r="117" spans="1:38">
      <c r="A117" s="934">
        <v>41426</v>
      </c>
      <c r="B117" s="798">
        <v>37.014022988999997</v>
      </c>
      <c r="C117" s="798">
        <v>43.632347417840386</v>
      </c>
      <c r="D117" s="798">
        <v>43.461800000000004</v>
      </c>
      <c r="E117" s="798">
        <v>43.065151515151534</v>
      </c>
      <c r="F117" s="798">
        <v>67.558225806451617</v>
      </c>
      <c r="G117" s="145"/>
      <c r="H117" s="798">
        <v>36.480716981</v>
      </c>
      <c r="I117" s="798">
        <v>42.968661290322586</v>
      </c>
      <c r="J117" s="798">
        <v>42.73683333333333</v>
      </c>
      <c r="K117" s="798">
        <v>42.437396551724149</v>
      </c>
      <c r="L117" s="798">
        <v>66.818616666666671</v>
      </c>
      <c r="M117" s="145"/>
      <c r="N117" s="798">
        <v>36.353987578000002</v>
      </c>
      <c r="O117" s="798">
        <v>42.915962264150942</v>
      </c>
      <c r="P117" s="798">
        <v>42.498198412698414</v>
      </c>
      <c r="Q117" s="798">
        <v>42.29736694677873</v>
      </c>
      <c r="R117" s="798">
        <v>66.117771428571444</v>
      </c>
    </row>
    <row r="118" spans="1:38">
      <c r="A118" s="935">
        <v>41456</v>
      </c>
      <c r="B118" s="138">
        <v>36.608248588000002</v>
      </c>
      <c r="C118" s="138">
        <v>43.050610328638477</v>
      </c>
      <c r="D118" s="138">
        <v>43.225133333333353</v>
      </c>
      <c r="E118" s="138">
        <v>43.046871794871819</v>
      </c>
      <c r="F118" s="138">
        <v>67.615737704918047</v>
      </c>
      <c r="G118" s="145"/>
      <c r="H118" s="138">
        <v>36.034641508999997</v>
      </c>
      <c r="I118" s="138">
        <v>42.375241935483857</v>
      </c>
      <c r="J118" s="138">
        <v>42.529166666666683</v>
      </c>
      <c r="K118" s="138">
        <v>42.413666666666678</v>
      </c>
      <c r="L118" s="138">
        <v>66.879779661016954</v>
      </c>
      <c r="M118" s="145"/>
      <c r="N118" s="138">
        <v>35.907813664999999</v>
      </c>
      <c r="O118" s="138">
        <v>42.317218328840966</v>
      </c>
      <c r="P118" s="138">
        <v>42.293658730158739</v>
      </c>
      <c r="Q118" s="138">
        <v>42.281942857142859</v>
      </c>
      <c r="R118" s="138">
        <v>66.176380952380939</v>
      </c>
    </row>
    <row r="119" spans="1:38">
      <c r="A119" s="934">
        <v>41487</v>
      </c>
      <c r="B119" s="798">
        <v>42.545000000000002</v>
      </c>
      <c r="C119" s="798">
        <v>43.140809523999998</v>
      </c>
      <c r="D119" s="798">
        <v>43.184097221999998</v>
      </c>
      <c r="E119" s="798">
        <v>42.898636363999998</v>
      </c>
      <c r="F119" s="798">
        <v>66.947049179999993</v>
      </c>
      <c r="G119" s="145"/>
      <c r="H119" s="798">
        <v>41.88458</v>
      </c>
      <c r="I119" s="798">
        <v>42.499459016000003</v>
      </c>
      <c r="J119" s="798">
        <v>42.565624999999997</v>
      </c>
      <c r="K119" s="798">
        <v>42.330362069000003</v>
      </c>
      <c r="L119" s="798">
        <v>66.323283333000006</v>
      </c>
      <c r="M119" s="145"/>
      <c r="N119" s="798">
        <v>41.698629869999998</v>
      </c>
      <c r="O119" s="798">
        <v>42.402851540999997</v>
      </c>
      <c r="P119" s="798">
        <v>42.321016806999999</v>
      </c>
      <c r="Q119" s="798">
        <v>42.172742857000003</v>
      </c>
      <c r="R119" s="798">
        <v>65.559225974</v>
      </c>
    </row>
    <row r="120" spans="1:38">
      <c r="A120" s="935">
        <v>41518</v>
      </c>
      <c r="B120" s="138">
        <v>47.032076502999999</v>
      </c>
      <c r="C120" s="138">
        <v>43.939095238</v>
      </c>
      <c r="D120" s="138">
        <v>43.560694443999999</v>
      </c>
      <c r="E120" s="138">
        <v>43.321919192000003</v>
      </c>
      <c r="F120" s="138">
        <v>67.249032258</v>
      </c>
      <c r="G120" s="145"/>
      <c r="H120" s="138">
        <v>46.495981131999997</v>
      </c>
      <c r="I120" s="138">
        <v>43.313360656</v>
      </c>
      <c r="J120" s="138">
        <v>42.968375000000002</v>
      </c>
      <c r="K120" s="138">
        <v>42.789982758999997</v>
      </c>
      <c r="L120" s="138">
        <v>66.640442622999998</v>
      </c>
      <c r="M120" s="145"/>
      <c r="N120" s="138">
        <v>46.353930159000001</v>
      </c>
      <c r="O120" s="138">
        <v>43.313527473000001</v>
      </c>
      <c r="P120" s="138">
        <v>42.785110203999999</v>
      </c>
      <c r="Q120" s="138">
        <v>42.656963585</v>
      </c>
      <c r="R120" s="138">
        <v>65.918346939000003</v>
      </c>
    </row>
    <row r="121" spans="1:38">
      <c r="A121" s="934">
        <v>41548</v>
      </c>
      <c r="B121" s="798">
        <v>44.446559139999998</v>
      </c>
      <c r="C121" s="798">
        <v>45.845185184999998</v>
      </c>
      <c r="D121" s="798">
        <v>44.897210884000003</v>
      </c>
      <c r="E121" s="798">
        <v>44.664129353</v>
      </c>
      <c r="F121" s="798">
        <v>67.381311475000004</v>
      </c>
      <c r="G121" s="145"/>
      <c r="H121" s="798">
        <v>43.798946428999997</v>
      </c>
      <c r="I121" s="798">
        <v>45.275111111000001</v>
      </c>
      <c r="J121" s="798">
        <v>44.337878048999997</v>
      </c>
      <c r="K121" s="798">
        <v>44.131534483000003</v>
      </c>
      <c r="L121" s="798">
        <v>66.913203390000007</v>
      </c>
      <c r="M121" s="145"/>
      <c r="N121" s="798">
        <v>43.699957447000003</v>
      </c>
      <c r="O121" s="798">
        <v>45.339862433999997</v>
      </c>
      <c r="P121" s="798">
        <v>44.303722221999998</v>
      </c>
      <c r="Q121" s="798">
        <v>44.012453782000001</v>
      </c>
      <c r="R121" s="798">
        <v>66.494652290999994</v>
      </c>
    </row>
    <row r="122" spans="1:38">
      <c r="A122" s="935">
        <v>41579</v>
      </c>
      <c r="B122" s="138">
        <v>40.427701149000001</v>
      </c>
      <c r="C122" s="138">
        <v>44.949476189999999</v>
      </c>
      <c r="D122" s="138">
        <v>44.636879432999997</v>
      </c>
      <c r="E122" s="138">
        <v>44.097979797999997</v>
      </c>
      <c r="F122" s="138">
        <v>67.096666666999994</v>
      </c>
      <c r="G122" s="145"/>
      <c r="H122" s="138">
        <v>39.790641508999997</v>
      </c>
      <c r="I122" s="138">
        <v>44.328096774000002</v>
      </c>
      <c r="J122" s="138">
        <v>44.054875000000003</v>
      </c>
      <c r="K122" s="138">
        <v>43.550672413999997</v>
      </c>
      <c r="L122" s="138">
        <v>66.630449999999996</v>
      </c>
      <c r="M122" s="145"/>
      <c r="N122" s="138">
        <v>39.690006349000001</v>
      </c>
      <c r="O122" s="138">
        <v>44.291773585000001</v>
      </c>
      <c r="P122" s="138">
        <v>43.892538776000002</v>
      </c>
      <c r="Q122" s="138">
        <v>43.457551821000003</v>
      </c>
      <c r="R122" s="138">
        <v>66.409820105999998</v>
      </c>
    </row>
    <row r="123" spans="1:38">
      <c r="A123" s="934">
        <v>41609</v>
      </c>
      <c r="B123" s="798">
        <v>36.875202020000003</v>
      </c>
      <c r="C123" s="798">
        <v>43.600740741000003</v>
      </c>
      <c r="D123" s="798">
        <v>43.544489796000001</v>
      </c>
      <c r="E123" s="798">
        <v>42.951813725000001</v>
      </c>
      <c r="F123" s="798">
        <v>66.383064516000005</v>
      </c>
      <c r="G123" s="145"/>
      <c r="H123" s="798">
        <v>36.171816667000002</v>
      </c>
      <c r="I123" s="798">
        <v>42.911093749999999</v>
      </c>
      <c r="J123" s="798">
        <v>42.884595238000003</v>
      </c>
      <c r="K123" s="798">
        <v>42.356783333000003</v>
      </c>
      <c r="L123" s="798">
        <v>65.921783332999993</v>
      </c>
      <c r="M123" s="145"/>
      <c r="N123" s="798">
        <v>36.128324929999998</v>
      </c>
      <c r="O123" s="798">
        <v>42.786201058000003</v>
      </c>
      <c r="P123" s="798">
        <v>42.67215444</v>
      </c>
      <c r="Q123" s="798">
        <v>42.233027473</v>
      </c>
      <c r="R123" s="798">
        <v>65.620560846999993</v>
      </c>
    </row>
    <row r="124" spans="1:38">
      <c r="A124" s="935">
        <v>41640</v>
      </c>
      <c r="B124" s="138">
        <v>37.153809524000003</v>
      </c>
      <c r="C124" s="138">
        <v>41.851527777999998</v>
      </c>
      <c r="D124" s="138">
        <v>42.289733333000001</v>
      </c>
      <c r="E124" s="138">
        <v>42.077500000000001</v>
      </c>
      <c r="F124" s="138">
        <v>65.204497353999997</v>
      </c>
      <c r="G124" s="145"/>
      <c r="H124" s="138">
        <v>36.564280701999998</v>
      </c>
      <c r="I124" s="138">
        <v>41.192093749999998</v>
      </c>
      <c r="J124" s="138">
        <v>41.654116279</v>
      </c>
      <c r="K124" s="138">
        <v>41.501350000000002</v>
      </c>
      <c r="L124" s="138">
        <v>64.832737705</v>
      </c>
      <c r="M124" s="145"/>
      <c r="N124" s="138">
        <v>36.519351190000002</v>
      </c>
      <c r="O124" s="138">
        <v>41.134555556000002</v>
      </c>
      <c r="P124" s="138">
        <v>41.47156391</v>
      </c>
      <c r="Q124" s="138">
        <v>41.445357143000003</v>
      </c>
      <c r="R124" s="138">
        <v>64.412992208000006</v>
      </c>
    </row>
    <row r="125" spans="1:38">
      <c r="A125" s="934">
        <v>41671</v>
      </c>
      <c r="B125" s="798">
        <v>37.034285713999999</v>
      </c>
      <c r="C125" s="798">
        <v>40.823240740999999</v>
      </c>
      <c r="D125" s="798">
        <v>41.502653060999997</v>
      </c>
      <c r="E125" s="798">
        <v>41.440343136999999</v>
      </c>
      <c r="F125" s="798">
        <v>63.000377358000001</v>
      </c>
      <c r="G125" s="145"/>
      <c r="H125" s="798">
        <v>36.431192981999999</v>
      </c>
      <c r="I125" s="798">
        <v>40.195015625000003</v>
      </c>
      <c r="J125" s="798">
        <v>40.917357142999997</v>
      </c>
      <c r="K125" s="798">
        <v>40.894216667000002</v>
      </c>
      <c r="L125" s="798">
        <v>62.779490195999998</v>
      </c>
      <c r="M125" s="145"/>
      <c r="N125" s="798">
        <v>36.346653060999998</v>
      </c>
      <c r="O125" s="798">
        <v>40.086682539999998</v>
      </c>
      <c r="P125" s="798">
        <v>40.713088802999998</v>
      </c>
      <c r="Q125" s="798">
        <v>40.791384614999998</v>
      </c>
      <c r="R125" s="798">
        <v>62.028683229999999</v>
      </c>
    </row>
    <row r="126" spans="1:38">
      <c r="A126" s="935">
        <v>41699</v>
      </c>
      <c r="B126" s="138">
        <v>31.277592593000001</v>
      </c>
      <c r="C126" s="138">
        <v>40.583140096999998</v>
      </c>
      <c r="D126" s="138">
        <v>41.245957447000002</v>
      </c>
      <c r="E126" s="138">
        <v>41.316161616000002</v>
      </c>
      <c r="F126" s="138">
        <v>63.242909091000001</v>
      </c>
      <c r="G126" s="145"/>
      <c r="H126" s="138">
        <v>30.587769230999999</v>
      </c>
      <c r="I126" s="138">
        <v>40.005080645</v>
      </c>
      <c r="J126" s="138">
        <v>40.719975609999999</v>
      </c>
      <c r="K126" s="138">
        <v>40.799779661000002</v>
      </c>
      <c r="L126" s="138">
        <v>63.015207547000003</v>
      </c>
      <c r="M126" s="145"/>
      <c r="N126" s="138">
        <v>30.489576531000001</v>
      </c>
      <c r="O126" s="138">
        <v>39.882307277999999</v>
      </c>
      <c r="P126" s="138">
        <v>40.487380952000002</v>
      </c>
      <c r="Q126" s="138">
        <v>40.674269230999997</v>
      </c>
      <c r="R126" s="138">
        <v>62.312023809999999</v>
      </c>
    </row>
    <row r="127" spans="1:38">
      <c r="A127" s="934">
        <v>41730</v>
      </c>
      <c r="B127" s="798">
        <v>31.663817204000001</v>
      </c>
      <c r="C127" s="798">
        <v>38.521952380999998</v>
      </c>
      <c r="D127" s="798">
        <v>39.457730496000003</v>
      </c>
      <c r="E127" s="798">
        <v>39.693034826000002</v>
      </c>
      <c r="F127" s="798">
        <v>61.758630951999997</v>
      </c>
      <c r="G127" s="145"/>
      <c r="H127" s="798">
        <v>31.008803571000001</v>
      </c>
      <c r="I127" s="798">
        <v>37.872047619</v>
      </c>
      <c r="J127" s="798">
        <v>38.861853658999998</v>
      </c>
      <c r="K127" s="798">
        <v>39.099133332999997</v>
      </c>
      <c r="L127" s="798">
        <v>61.518333333000001</v>
      </c>
      <c r="M127" s="145"/>
      <c r="N127" s="798">
        <v>30.88647619</v>
      </c>
      <c r="O127" s="798">
        <v>37.827741240000002</v>
      </c>
      <c r="P127" s="798">
        <v>38.684123552000003</v>
      </c>
      <c r="Q127" s="798">
        <v>39.031054945000001</v>
      </c>
      <c r="R127" s="798">
        <v>60.673201165999998</v>
      </c>
    </row>
    <row r="128" spans="1:38">
      <c r="A128" s="935">
        <v>41760</v>
      </c>
      <c r="B128" s="138">
        <v>37.297407407000001</v>
      </c>
      <c r="C128" s="138">
        <v>39.217746478999999</v>
      </c>
      <c r="D128" s="138">
        <v>40.015972222000002</v>
      </c>
      <c r="E128" s="138">
        <v>40.129950248999997</v>
      </c>
      <c r="F128" s="138">
        <v>62.784320987999997</v>
      </c>
      <c r="G128" s="145"/>
      <c r="H128" s="138">
        <v>36.731606061000001</v>
      </c>
      <c r="I128" s="138">
        <v>38.588265624999998</v>
      </c>
      <c r="J128" s="138">
        <v>39.442285714</v>
      </c>
      <c r="K128" s="138">
        <v>39.558999999999997</v>
      </c>
      <c r="L128" s="138">
        <v>62.565115384999999</v>
      </c>
      <c r="M128" s="145"/>
      <c r="N128" s="138">
        <v>36.665403509000001</v>
      </c>
      <c r="O128" s="138">
        <v>38.598680518999998</v>
      </c>
      <c r="P128" s="138">
        <v>39.265293233000001</v>
      </c>
      <c r="Q128" s="138">
        <v>39.470884097000003</v>
      </c>
      <c r="R128" s="138">
        <v>61.798480243</v>
      </c>
    </row>
    <row r="129" spans="1:18">
      <c r="A129" s="934">
        <v>41791</v>
      </c>
      <c r="B129" s="798">
        <v>37.003686868999999</v>
      </c>
      <c r="C129" s="798">
        <v>39.812657657999999</v>
      </c>
      <c r="D129" s="798">
        <v>40.458399999999997</v>
      </c>
      <c r="E129" s="798">
        <v>40.596328501999999</v>
      </c>
      <c r="F129" s="798">
        <v>63.195141243000002</v>
      </c>
      <c r="G129" s="145"/>
      <c r="H129" s="798">
        <v>36.325833332999999</v>
      </c>
      <c r="I129" s="798">
        <v>39.271925373000002</v>
      </c>
      <c r="J129" s="798">
        <v>39.943159090999998</v>
      </c>
      <c r="K129" s="798">
        <v>40.049854838999998</v>
      </c>
      <c r="L129" s="798">
        <v>62.946701754000003</v>
      </c>
      <c r="M129" s="145"/>
      <c r="N129" s="798">
        <v>36.214954177999999</v>
      </c>
      <c r="O129" s="798">
        <v>39.266236452999998</v>
      </c>
      <c r="P129" s="798">
        <v>39.713113552999999</v>
      </c>
      <c r="Q129" s="798">
        <v>39.956987013000003</v>
      </c>
      <c r="R129" s="798">
        <v>62.279263735999997</v>
      </c>
    </row>
    <row r="130" spans="1:18">
      <c r="A130" s="935">
        <v>41821</v>
      </c>
      <c r="B130" s="138">
        <v>35.099594594999999</v>
      </c>
      <c r="C130" s="138">
        <v>40.912328766999998</v>
      </c>
      <c r="D130" s="138">
        <v>41.381319443999999</v>
      </c>
      <c r="E130" s="138">
        <v>41.428921569000003</v>
      </c>
      <c r="F130" s="138">
        <v>61.800119047999999</v>
      </c>
      <c r="G130" s="145"/>
      <c r="H130" s="138">
        <v>34.471779411999997</v>
      </c>
      <c r="I130" s="138">
        <v>40.322402984999997</v>
      </c>
      <c r="J130" s="138">
        <v>40.823395349000002</v>
      </c>
      <c r="K130" s="138">
        <v>40.835612902999998</v>
      </c>
      <c r="L130" s="138">
        <v>61.408462962999998</v>
      </c>
      <c r="M130" s="145"/>
      <c r="N130" s="138">
        <v>34.403428570999999</v>
      </c>
      <c r="O130" s="138">
        <v>40.337423559000001</v>
      </c>
      <c r="P130" s="138">
        <v>40.674644688999997</v>
      </c>
      <c r="Q130" s="138">
        <v>40.758919481</v>
      </c>
      <c r="R130" s="138">
        <v>60.961880952000001</v>
      </c>
    </row>
    <row r="131" spans="1:18">
      <c r="A131" s="934">
        <v>41852</v>
      </c>
      <c r="B131" s="798">
        <v>38.795444443999997</v>
      </c>
      <c r="C131" s="798">
        <v>40.342355556000001</v>
      </c>
      <c r="D131" s="798">
        <v>41.035200000000003</v>
      </c>
      <c r="E131" s="798">
        <v>41.071428570999998</v>
      </c>
      <c r="F131" s="798">
        <v>61.717833333000002</v>
      </c>
      <c r="G131" s="145"/>
      <c r="H131" s="798">
        <v>38.099563635999999</v>
      </c>
      <c r="I131" s="798">
        <v>39.775279412000003</v>
      </c>
      <c r="J131" s="798">
        <v>40.500886364000003</v>
      </c>
      <c r="K131" s="798">
        <v>40.527158729999996</v>
      </c>
      <c r="L131" s="798">
        <v>61.415293103000003</v>
      </c>
      <c r="M131" s="145"/>
      <c r="N131" s="798">
        <v>38.031746032000001</v>
      </c>
      <c r="O131" s="798">
        <v>39.754653752999999</v>
      </c>
      <c r="P131" s="798">
        <v>40.291062271000001</v>
      </c>
      <c r="Q131" s="798">
        <v>40.411760203999997</v>
      </c>
      <c r="R131" s="798">
        <v>61.428576819</v>
      </c>
    </row>
    <row r="132" spans="1:18">
      <c r="A132" s="935">
        <v>41883</v>
      </c>
      <c r="B132" s="138">
        <v>40.648529412000002</v>
      </c>
      <c r="C132" s="138">
        <v>42.242268519</v>
      </c>
      <c r="D132" s="138">
        <v>42.723475176999997</v>
      </c>
      <c r="E132" s="138">
        <v>42.501690820999997</v>
      </c>
      <c r="F132" s="138">
        <v>63.457385621</v>
      </c>
      <c r="G132" s="145"/>
      <c r="H132" s="138">
        <v>39.984158729999997</v>
      </c>
      <c r="I132" s="138">
        <v>41.691984847999997</v>
      </c>
      <c r="J132" s="138">
        <v>42.207761904999998</v>
      </c>
      <c r="K132" s="138">
        <v>41.960158730000003</v>
      </c>
      <c r="L132" s="138">
        <v>63.233693877999997</v>
      </c>
      <c r="M132" s="145"/>
      <c r="N132" s="138">
        <v>39.854398922000001</v>
      </c>
      <c r="O132" s="138">
        <v>41.675522078</v>
      </c>
      <c r="P132" s="138">
        <v>42.024100386000001</v>
      </c>
      <c r="Q132" s="138">
        <v>41.829809523999998</v>
      </c>
      <c r="R132" s="138">
        <v>63.073521595000003</v>
      </c>
    </row>
    <row r="133" spans="1:18">
      <c r="A133" s="934">
        <v>41913</v>
      </c>
      <c r="B133" s="798">
        <v>36.436960784</v>
      </c>
      <c r="C133" s="798">
        <v>41.692407406999997</v>
      </c>
      <c r="D133" s="798">
        <v>42.191134752000004</v>
      </c>
      <c r="E133" s="798">
        <v>41.888937198000001</v>
      </c>
      <c r="F133" s="798">
        <v>62.295090909000002</v>
      </c>
      <c r="G133" s="145"/>
      <c r="H133" s="798">
        <v>35.732645161000001</v>
      </c>
      <c r="I133" s="798">
        <v>41.129106061000002</v>
      </c>
      <c r="J133" s="798">
        <v>41.632047618999998</v>
      </c>
      <c r="K133" s="798">
        <v>41.327857143000003</v>
      </c>
      <c r="L133" s="798">
        <v>62.007792453</v>
      </c>
      <c r="M133" s="145"/>
      <c r="N133" s="798">
        <v>35.587546218</v>
      </c>
      <c r="O133" s="798">
        <v>41.002661375999999</v>
      </c>
      <c r="P133" s="798">
        <v>41.379769840999998</v>
      </c>
      <c r="Q133" s="798">
        <v>41.193202155999998</v>
      </c>
      <c r="R133" s="798">
        <v>61.745300911999998</v>
      </c>
    </row>
    <row r="134" spans="1:18">
      <c r="A134" s="935">
        <v>41944</v>
      </c>
      <c r="B134" s="138">
        <v>36.110555556000001</v>
      </c>
      <c r="C134" s="138">
        <v>40.865630631000002</v>
      </c>
      <c r="D134" s="138">
        <v>41.643120566999997</v>
      </c>
      <c r="E134" s="138">
        <v>44.097979797999997</v>
      </c>
      <c r="F134" s="138">
        <v>61.190710383000003</v>
      </c>
      <c r="G134" s="145"/>
      <c r="H134" s="138">
        <v>35.446967213000001</v>
      </c>
      <c r="I134" s="138">
        <v>40.255447760999999</v>
      </c>
      <c r="J134" s="138">
        <v>41.087880951999999</v>
      </c>
      <c r="K134" s="138">
        <v>43.550672413999997</v>
      </c>
      <c r="L134" s="138">
        <v>60.818152542</v>
      </c>
      <c r="M134" s="145"/>
      <c r="N134" s="138">
        <v>35.339731428999997</v>
      </c>
      <c r="O134" s="138">
        <v>40.254992207999997</v>
      </c>
      <c r="P134" s="138">
        <v>40.927691119999999</v>
      </c>
      <c r="Q134" s="138">
        <v>43.457551821000003</v>
      </c>
      <c r="R134" s="138">
        <v>60.708576819000001</v>
      </c>
    </row>
    <row r="135" spans="1:18">
      <c r="A135" s="934">
        <v>41974</v>
      </c>
      <c r="B135" s="798">
        <v>37.414553990999998</v>
      </c>
      <c r="C135" s="798">
        <v>41.467387387000002</v>
      </c>
      <c r="D135" s="798">
        <v>42.141843971999997</v>
      </c>
      <c r="E135" s="798">
        <v>42.053849765000002</v>
      </c>
      <c r="F135" s="798">
        <v>61.873446328</v>
      </c>
      <c r="G135" s="145"/>
      <c r="H135" s="798">
        <v>36.744061537999997</v>
      </c>
      <c r="I135" s="798">
        <v>40.870522387999998</v>
      </c>
      <c r="J135" s="798">
        <v>41.600738094999997</v>
      </c>
      <c r="K135" s="798">
        <v>41.488671875000001</v>
      </c>
      <c r="L135" s="798">
        <v>61.503877193000001</v>
      </c>
      <c r="M135" s="145"/>
      <c r="N135" s="798">
        <v>36.668873015999999</v>
      </c>
      <c r="O135" s="798">
        <v>40.854446752999998</v>
      </c>
      <c r="P135" s="798">
        <v>41.426069497999997</v>
      </c>
      <c r="Q135" s="798">
        <v>41.438770408000003</v>
      </c>
      <c r="R135" s="798">
        <v>61.481042017</v>
      </c>
    </row>
    <row r="136" spans="1:18">
      <c r="A136" s="935">
        <v>42005</v>
      </c>
      <c r="B136" s="138">
        <v>35.922626262999998</v>
      </c>
      <c r="C136" s="138">
        <v>40.173242008999999</v>
      </c>
      <c r="D136" s="138">
        <v>41.157971013999997</v>
      </c>
      <c r="E136" s="138">
        <v>41.039342722999997</v>
      </c>
      <c r="F136" s="138">
        <v>61.576959064</v>
      </c>
      <c r="G136" s="145"/>
      <c r="H136" s="138">
        <v>35.271733333</v>
      </c>
      <c r="I136" s="138">
        <v>39.525984848</v>
      </c>
      <c r="J136" s="138">
        <v>40.592463414999997</v>
      </c>
      <c r="K136" s="138">
        <v>40.462421874999997</v>
      </c>
      <c r="L136" s="138">
        <v>61.096267857000001</v>
      </c>
      <c r="M136" s="145"/>
      <c r="N136" s="138">
        <v>35.154691429000003</v>
      </c>
      <c r="O136" s="138">
        <v>39.355190475999997</v>
      </c>
      <c r="P136" s="138">
        <v>40.303063492</v>
      </c>
      <c r="Q136" s="138">
        <v>40.387033766000002</v>
      </c>
      <c r="R136" s="138">
        <v>61.210944605999998</v>
      </c>
    </row>
    <row r="137" spans="1:18">
      <c r="A137" s="934">
        <v>42036</v>
      </c>
      <c r="B137" s="798">
        <v>35.540193236999997</v>
      </c>
      <c r="C137" s="798">
        <v>39.134383561999996</v>
      </c>
      <c r="D137" s="798">
        <v>40.250797101000003</v>
      </c>
      <c r="E137" s="798">
        <v>40.160657276999999</v>
      </c>
      <c r="F137" s="798">
        <v>60.652848485</v>
      </c>
      <c r="G137" s="145"/>
      <c r="H137" s="798">
        <v>34.916593749999997</v>
      </c>
      <c r="I137" s="798">
        <v>38.422075757999998</v>
      </c>
      <c r="J137" s="798">
        <v>39.638073171000002</v>
      </c>
      <c r="K137" s="798">
        <v>39.570890624999997</v>
      </c>
      <c r="L137" s="798">
        <v>60.177925926</v>
      </c>
      <c r="M137" s="145"/>
      <c r="N137" s="798">
        <v>34.800636119000004</v>
      </c>
      <c r="O137" s="798">
        <v>38.338338624000002</v>
      </c>
      <c r="P137" s="798">
        <v>39.405007937000001</v>
      </c>
      <c r="Q137" s="798">
        <v>39.540124675000001</v>
      </c>
      <c r="R137" s="798">
        <v>60.213477204</v>
      </c>
    </row>
    <row r="138" spans="1:18">
      <c r="A138" s="935">
        <v>42064</v>
      </c>
      <c r="B138" s="138">
        <v>31.301874999999999</v>
      </c>
      <c r="C138" s="138">
        <v>38.413918918999997</v>
      </c>
      <c r="D138" s="138">
        <v>39.387163121</v>
      </c>
      <c r="E138" s="138">
        <v>39.166995305</v>
      </c>
      <c r="F138" s="138">
        <v>60.282202380999998</v>
      </c>
      <c r="G138" s="145"/>
      <c r="H138" s="138">
        <v>30.686965517000001</v>
      </c>
      <c r="I138" s="138">
        <v>37.794283581999998</v>
      </c>
      <c r="J138" s="138">
        <v>38.860976190000002</v>
      </c>
      <c r="K138" s="138">
        <v>38.610734375</v>
      </c>
      <c r="L138" s="138">
        <v>59.795727272999997</v>
      </c>
      <c r="M138" s="145"/>
      <c r="N138" s="138">
        <v>30.70060119</v>
      </c>
      <c r="O138" s="138">
        <v>37.633433766000003</v>
      </c>
      <c r="P138" s="138">
        <v>38.594833977</v>
      </c>
      <c r="Q138" s="138">
        <v>38.531033766</v>
      </c>
      <c r="R138" s="138">
        <v>59.809666667000002</v>
      </c>
    </row>
    <row r="139" spans="1:18">
      <c r="A139" s="934">
        <v>42095</v>
      </c>
      <c r="B139" s="798">
        <v>30.860520832999999</v>
      </c>
      <c r="C139" s="798">
        <v>37.959954338000003</v>
      </c>
      <c r="D139" s="798">
        <v>38.791884058000001</v>
      </c>
      <c r="E139" s="798">
        <v>38.738873239</v>
      </c>
      <c r="F139" s="798">
        <v>59.144242423999998</v>
      </c>
      <c r="G139" s="145"/>
      <c r="H139" s="798">
        <v>30.222206897</v>
      </c>
      <c r="I139" s="798">
        <v>37.400106061000002</v>
      </c>
      <c r="J139" s="798">
        <v>38.320756097999997</v>
      </c>
      <c r="K139" s="798">
        <v>38.225890624999998</v>
      </c>
      <c r="L139" s="798">
        <v>58.746962963000001</v>
      </c>
      <c r="M139" s="145"/>
      <c r="N139" s="798">
        <v>30.135833333000001</v>
      </c>
      <c r="O139" s="798">
        <v>37.277417790000001</v>
      </c>
      <c r="P139" s="798">
        <v>38.122906122000003</v>
      </c>
      <c r="Q139" s="798">
        <v>38.193962962999997</v>
      </c>
      <c r="R139" s="798">
        <v>58.785683890999998</v>
      </c>
    </row>
    <row r="140" spans="1:18">
      <c r="A140" s="935">
        <v>42125</v>
      </c>
      <c r="B140" s="138">
        <v>28.045052083000002</v>
      </c>
      <c r="C140" s="138">
        <v>37.011324201000001</v>
      </c>
      <c r="D140" s="138">
        <v>38.192101448999999</v>
      </c>
      <c r="E140" s="138">
        <v>38.357042254</v>
      </c>
      <c r="F140" s="138">
        <v>59.329308175999998</v>
      </c>
      <c r="G140" s="145"/>
      <c r="H140" s="138">
        <v>27.402633333000001</v>
      </c>
      <c r="I140" s="138">
        <v>36.419045455000003</v>
      </c>
      <c r="J140" s="138">
        <v>37.667829267999998</v>
      </c>
      <c r="K140" s="138">
        <v>37.825265625</v>
      </c>
      <c r="L140" s="138">
        <v>58.925153846000001</v>
      </c>
      <c r="M140" s="145"/>
      <c r="N140" s="138">
        <v>27.297924198</v>
      </c>
      <c r="O140" s="138">
        <v>36.329476190000001</v>
      </c>
      <c r="P140" s="138">
        <v>37.475404761999997</v>
      </c>
      <c r="Q140" s="138">
        <v>37.784670130000002</v>
      </c>
      <c r="R140" s="138">
        <v>59.032806348999998</v>
      </c>
    </row>
    <row r="141" spans="1:18">
      <c r="A141" s="934">
        <v>42156</v>
      </c>
      <c r="B141" s="798">
        <v>21.602598039</v>
      </c>
      <c r="C141" s="798">
        <v>35.794929576999998</v>
      </c>
      <c r="D141" s="798">
        <v>37.645909091</v>
      </c>
      <c r="E141" s="798">
        <v>37.976811593999997</v>
      </c>
      <c r="F141" s="798">
        <v>58.827261905</v>
      </c>
      <c r="G141" s="145"/>
      <c r="H141" s="798">
        <v>20.940874999999998</v>
      </c>
      <c r="I141" s="798">
        <v>35.166859375000001</v>
      </c>
      <c r="J141" s="798">
        <v>37.142897435999998</v>
      </c>
      <c r="K141" s="798">
        <v>37.459629032000002</v>
      </c>
      <c r="L141" s="798">
        <v>58.408236363999997</v>
      </c>
      <c r="M141" s="145"/>
      <c r="N141" s="798">
        <v>20.761978437</v>
      </c>
      <c r="O141" s="798">
        <v>35.049353099999998</v>
      </c>
      <c r="P141" s="798">
        <v>36.922840336</v>
      </c>
      <c r="Q141" s="798">
        <v>37.431773585000002</v>
      </c>
      <c r="R141" s="798">
        <v>58.453196429000002</v>
      </c>
    </row>
    <row r="142" spans="1:18">
      <c r="A142" s="935">
        <v>42186</v>
      </c>
      <c r="B142" s="138">
        <v>15.518101851999999</v>
      </c>
      <c r="C142" s="138">
        <v>35.736803653000003</v>
      </c>
      <c r="D142" s="138">
        <v>37.339078014000002</v>
      </c>
      <c r="E142" s="138">
        <v>37.851952380999997</v>
      </c>
      <c r="F142" s="138">
        <v>57.055517240999997</v>
      </c>
      <c r="G142" s="145"/>
      <c r="H142" s="138">
        <v>14.762865672</v>
      </c>
      <c r="I142" s="138">
        <v>35.159469696999999</v>
      </c>
      <c r="J142" s="138">
        <v>36.813785713999998</v>
      </c>
      <c r="K142" s="138">
        <v>37.304650793999997</v>
      </c>
      <c r="L142" s="138">
        <v>56.756122806999997</v>
      </c>
      <c r="M142" s="145"/>
      <c r="N142" s="138">
        <v>14.642596491000001</v>
      </c>
      <c r="O142" s="138">
        <v>34.978598382999998</v>
      </c>
      <c r="P142" s="138">
        <v>36.577861224000003</v>
      </c>
      <c r="Q142" s="138">
        <v>37.198565934000001</v>
      </c>
      <c r="R142" s="138">
        <v>56.771902857000001</v>
      </c>
    </row>
    <row r="143" spans="1:18">
      <c r="A143" s="934">
        <v>42217</v>
      </c>
      <c r="B143" s="798">
        <v>23.45495098</v>
      </c>
      <c r="C143" s="798">
        <v>35.459675926000003</v>
      </c>
      <c r="D143" s="798">
        <v>37.137536232000002</v>
      </c>
      <c r="E143" s="798">
        <v>37.699806762999998</v>
      </c>
      <c r="F143" s="798">
        <v>54.721547618999999</v>
      </c>
      <c r="G143" s="145"/>
      <c r="H143" s="798">
        <v>22.929619047999999</v>
      </c>
      <c r="I143" s="798">
        <v>34.872230768999998</v>
      </c>
      <c r="J143" s="798">
        <v>36.612902439000003</v>
      </c>
      <c r="K143" s="798">
        <v>37.153274193999998</v>
      </c>
      <c r="L143" s="798">
        <v>54.378163635999996</v>
      </c>
      <c r="M143" s="145"/>
      <c r="N143" s="798">
        <v>22.817762803000001</v>
      </c>
      <c r="O143" s="798">
        <v>34.643021978</v>
      </c>
      <c r="P143" s="798">
        <v>36.354310924000004</v>
      </c>
      <c r="Q143" s="798">
        <v>37.011507002999998</v>
      </c>
      <c r="R143" s="798">
        <v>54.194839285999997</v>
      </c>
    </row>
    <row r="144" spans="1:18">
      <c r="A144" s="935">
        <v>42248</v>
      </c>
      <c r="B144" s="138">
        <v>27.040185184999999</v>
      </c>
      <c r="C144" s="138">
        <v>34.416392694000002</v>
      </c>
      <c r="D144" s="138">
        <v>36.026388889000003</v>
      </c>
      <c r="E144" s="138">
        <v>36.343523810000001</v>
      </c>
      <c r="F144" s="138">
        <v>57.040943396000003</v>
      </c>
      <c r="G144" s="145"/>
      <c r="H144" s="138">
        <v>26.443761194</v>
      </c>
      <c r="I144" s="138">
        <v>33.827045454999997</v>
      </c>
      <c r="J144" s="138">
        <v>35.451744185999999</v>
      </c>
      <c r="K144" s="138">
        <v>35.756015873000003</v>
      </c>
      <c r="L144" s="138">
        <v>56.761480769000002</v>
      </c>
      <c r="M144" s="145"/>
      <c r="N144" s="138">
        <v>26.376964286</v>
      </c>
      <c r="O144" s="138">
        <v>33.725820106</v>
      </c>
      <c r="P144" s="138">
        <v>35.299547619000002</v>
      </c>
      <c r="Q144" s="138">
        <v>35.777622641999997</v>
      </c>
      <c r="R144" s="138">
        <v>56.792736507999997</v>
      </c>
    </row>
    <row r="145" spans="1:42">
      <c r="A145" s="934">
        <v>42278</v>
      </c>
      <c r="B145" s="798">
        <v>30.173571428999999</v>
      </c>
      <c r="C145" s="798">
        <v>34.163789954000002</v>
      </c>
      <c r="D145" s="798">
        <v>35.237083333000001</v>
      </c>
      <c r="E145" s="798">
        <v>35.434460094000002</v>
      </c>
      <c r="F145" s="798">
        <v>56.584197531000001</v>
      </c>
      <c r="G145" s="145"/>
      <c r="H145" s="798">
        <v>29.531569230999999</v>
      </c>
      <c r="I145" s="798">
        <v>33.563257575999998</v>
      </c>
      <c r="J145" s="798">
        <v>34.678720929999997</v>
      </c>
      <c r="K145" s="798">
        <v>34.848078125000001</v>
      </c>
      <c r="L145" s="798">
        <v>56.284132075000002</v>
      </c>
      <c r="M145" s="145"/>
      <c r="N145" s="798">
        <v>29.462409703999999</v>
      </c>
      <c r="O145" s="798">
        <v>33.420158729999997</v>
      </c>
      <c r="P145" s="798">
        <v>34.444269841000001</v>
      </c>
      <c r="Q145" s="798">
        <v>34.812733154</v>
      </c>
      <c r="R145" s="798">
        <v>56.083807452999999</v>
      </c>
    </row>
    <row r="146" spans="1:42">
      <c r="A146" s="935">
        <v>42309</v>
      </c>
      <c r="B146" s="138">
        <v>32.084319249000004</v>
      </c>
      <c r="C146" s="138">
        <v>34.100711111000003</v>
      </c>
      <c r="D146" s="138">
        <v>34.889930556000003</v>
      </c>
      <c r="E146" s="138">
        <v>35.035799087000001</v>
      </c>
      <c r="F146" s="138">
        <v>56.544137931000002</v>
      </c>
      <c r="G146" s="145"/>
      <c r="H146" s="138">
        <v>31.439575758</v>
      </c>
      <c r="I146" s="138">
        <v>33.539661764999998</v>
      </c>
      <c r="J146" s="138">
        <v>34.328813953000001</v>
      </c>
      <c r="K146" s="138">
        <v>34.478651515000003</v>
      </c>
      <c r="L146" s="138">
        <v>56.079929825000001</v>
      </c>
      <c r="M146" s="145"/>
      <c r="N146" s="138">
        <v>31.367947090000001</v>
      </c>
      <c r="O146" s="138">
        <v>33.306311223999998</v>
      </c>
      <c r="P146" s="138">
        <v>34.055690476000002</v>
      </c>
      <c r="Q146" s="138">
        <v>34.301329870000004</v>
      </c>
      <c r="R146" s="138">
        <v>55.802228571000001</v>
      </c>
    </row>
    <row r="147" spans="1:42">
      <c r="A147" s="934">
        <v>42339</v>
      </c>
      <c r="B147" s="798">
        <v>26.806302082999999</v>
      </c>
      <c r="C147" s="798">
        <v>31.557972972999998</v>
      </c>
      <c r="D147" s="798">
        <v>32.701276596</v>
      </c>
      <c r="E147" s="798">
        <v>33.095068492999999</v>
      </c>
      <c r="F147" s="798">
        <v>56.522923976999998</v>
      </c>
      <c r="G147" s="145"/>
      <c r="H147" s="798">
        <v>26.147133332999999</v>
      </c>
      <c r="I147" s="798">
        <v>31.021441176</v>
      </c>
      <c r="J147" s="798">
        <v>32.180674418999999</v>
      </c>
      <c r="K147" s="798">
        <v>32.553462687</v>
      </c>
      <c r="L147" s="798">
        <v>56.018696429000002</v>
      </c>
      <c r="M147" s="145"/>
      <c r="N147" s="798">
        <v>25.900443149000001</v>
      </c>
      <c r="O147" s="798">
        <v>30.858358442</v>
      </c>
      <c r="P147" s="798">
        <v>32.007322449</v>
      </c>
      <c r="Q147" s="798">
        <v>32.494145455000002</v>
      </c>
      <c r="R147" s="798">
        <v>55.688518950000002</v>
      </c>
    </row>
    <row r="148" spans="1:42">
      <c r="A148" s="935">
        <v>42370</v>
      </c>
      <c r="B148" s="138">
        <v>39.942688171999997</v>
      </c>
      <c r="C148" s="138">
        <v>31.765000000000001</v>
      </c>
      <c r="D148" s="138">
        <v>32.783617020999998</v>
      </c>
      <c r="E148" s="138">
        <v>32.959814815000001</v>
      </c>
      <c r="F148" s="138">
        <v>55.201999999999998</v>
      </c>
      <c r="G148" s="145"/>
      <c r="H148" s="138">
        <v>39.389568965999999</v>
      </c>
      <c r="I148" s="138">
        <v>31.185852941</v>
      </c>
      <c r="J148" s="138">
        <v>32.220906976999999</v>
      </c>
      <c r="K148" s="138">
        <v>32.406242423999998</v>
      </c>
      <c r="L148" s="138">
        <v>54.678444444</v>
      </c>
      <c r="M148" s="145"/>
      <c r="N148" s="138">
        <v>39.210291667</v>
      </c>
      <c r="O148" s="138">
        <v>31.009267531999999</v>
      </c>
      <c r="P148" s="138">
        <v>32.043608163000002</v>
      </c>
      <c r="Q148" s="138">
        <v>32.254407407000002</v>
      </c>
      <c r="R148" s="138">
        <v>54.223829787</v>
      </c>
    </row>
    <row r="149" spans="1:42">
      <c r="A149" s="934">
        <v>42401</v>
      </c>
      <c r="B149" s="798">
        <v>27.261666667</v>
      </c>
      <c r="C149" s="798">
        <v>30.624234233999999</v>
      </c>
      <c r="D149" s="798">
        <v>31.192608696000001</v>
      </c>
      <c r="E149" s="798">
        <v>31.089537036999999</v>
      </c>
      <c r="F149" s="798">
        <v>56.860987653999999</v>
      </c>
      <c r="G149" s="145"/>
      <c r="H149" s="798">
        <v>26.644732142999999</v>
      </c>
      <c r="I149" s="798">
        <v>30.042323529000001</v>
      </c>
      <c r="J149" s="798">
        <v>30.58897619</v>
      </c>
      <c r="K149" s="798">
        <v>30.489560606000001</v>
      </c>
      <c r="L149" s="798">
        <v>56.372811321</v>
      </c>
      <c r="M149" s="145"/>
      <c r="N149" s="798">
        <v>26.578037266999999</v>
      </c>
      <c r="O149" s="798">
        <v>29.858748051999999</v>
      </c>
      <c r="P149" s="798">
        <v>30.442605042</v>
      </c>
      <c r="Q149" s="798">
        <v>30.403502646</v>
      </c>
      <c r="R149" s="798">
        <v>56.136291925000002</v>
      </c>
    </row>
    <row r="150" spans="1:42">
      <c r="A150" s="935">
        <v>42430</v>
      </c>
      <c r="B150" s="138">
        <v>28.500943396</v>
      </c>
      <c r="C150" s="138">
        <v>30.535540541</v>
      </c>
      <c r="D150" s="138">
        <v>30.573333333000001</v>
      </c>
      <c r="E150" s="138">
        <v>30.584120370000001</v>
      </c>
      <c r="F150" s="138">
        <v>55.600943395999998</v>
      </c>
      <c r="G150" s="145"/>
      <c r="H150" s="138">
        <v>27.883459999999999</v>
      </c>
      <c r="I150" s="138">
        <v>29.978529412</v>
      </c>
      <c r="J150" s="138">
        <v>29.994724999999999</v>
      </c>
      <c r="K150" s="138">
        <v>29.991893939000001</v>
      </c>
      <c r="L150" s="138">
        <v>55.091846154000002</v>
      </c>
      <c r="M150" s="145"/>
      <c r="N150" s="138">
        <v>27.821372822000001</v>
      </c>
      <c r="O150" s="138">
        <v>29.860377550999999</v>
      </c>
      <c r="P150" s="138">
        <v>29.862424241999999</v>
      </c>
      <c r="Q150" s="138">
        <v>29.881683117000001</v>
      </c>
      <c r="R150" s="138">
        <v>54.746838095000001</v>
      </c>
    </row>
    <row r="151" spans="1:42">
      <c r="A151" s="934">
        <v>42461</v>
      </c>
      <c r="B151" s="798">
        <v>28.620238095000001</v>
      </c>
      <c r="C151" s="798">
        <v>30.750601851999999</v>
      </c>
      <c r="D151" s="798">
        <v>30.636201549999999</v>
      </c>
      <c r="E151" s="798">
        <v>30.561545894000002</v>
      </c>
      <c r="F151" s="798">
        <v>56.175723269999999</v>
      </c>
      <c r="G151" s="145"/>
      <c r="H151" s="798">
        <v>27.974173077</v>
      </c>
      <c r="I151" s="798">
        <v>30.155000000000001</v>
      </c>
      <c r="J151" s="798">
        <v>29.991769230999999</v>
      </c>
      <c r="K151" s="798">
        <v>29.974453125</v>
      </c>
      <c r="L151" s="798">
        <v>55.671576923000003</v>
      </c>
      <c r="M151" s="145"/>
      <c r="N151" s="798">
        <v>27.639740864</v>
      </c>
      <c r="O151" s="798">
        <v>30.058722077999999</v>
      </c>
      <c r="P151" s="798">
        <v>29.800669642999999</v>
      </c>
      <c r="Q151" s="798">
        <v>29.853417790000002</v>
      </c>
      <c r="R151" s="798">
        <v>55.195801242000002</v>
      </c>
    </row>
    <row r="152" spans="1:42">
      <c r="A152" s="935">
        <v>42491</v>
      </c>
      <c r="B152" s="138">
        <v>30.048679244999999</v>
      </c>
      <c r="C152" s="138">
        <v>32.154490740999996</v>
      </c>
      <c r="D152" s="138">
        <v>32.119457363999999</v>
      </c>
      <c r="E152" s="138">
        <v>32.164299517000003</v>
      </c>
      <c r="F152" s="138">
        <v>55.387666666999998</v>
      </c>
      <c r="G152" s="145"/>
      <c r="H152" s="138">
        <v>29.357122448999998</v>
      </c>
      <c r="I152" s="138">
        <v>31.564393938999999</v>
      </c>
      <c r="J152" s="138">
        <v>31.548692308</v>
      </c>
      <c r="K152" s="138">
        <v>31.563984375</v>
      </c>
      <c r="L152" s="138">
        <v>54.942979592</v>
      </c>
      <c r="M152" s="145"/>
      <c r="N152" s="138">
        <v>29.202735713999999</v>
      </c>
      <c r="O152" s="138">
        <v>31.517501298999999</v>
      </c>
      <c r="P152" s="138">
        <v>31.449508929</v>
      </c>
      <c r="Q152" s="138">
        <v>31.438943395999999</v>
      </c>
      <c r="R152" s="138">
        <v>54.541025974</v>
      </c>
    </row>
    <row r="153" spans="1:42">
      <c r="A153" s="934">
        <v>42522</v>
      </c>
      <c r="B153" s="798">
        <v>39.692298850999997</v>
      </c>
      <c r="C153" s="798">
        <v>34.268796295999998</v>
      </c>
      <c r="D153" s="798">
        <v>33.872790698000003</v>
      </c>
      <c r="E153" s="798">
        <v>34.115314009999999</v>
      </c>
      <c r="F153" s="798">
        <v>55.424222221999997</v>
      </c>
      <c r="G153" s="145"/>
      <c r="H153" s="798">
        <v>38.978054544999999</v>
      </c>
      <c r="I153" s="798">
        <v>33.719393939</v>
      </c>
      <c r="J153" s="798">
        <v>33.247461538000003</v>
      </c>
      <c r="K153" s="798">
        <v>33.465390624999998</v>
      </c>
      <c r="L153" s="798">
        <v>54.945272727000003</v>
      </c>
      <c r="M153" s="145"/>
      <c r="N153" s="798">
        <v>38.681492063</v>
      </c>
      <c r="O153" s="798">
        <v>33.591319480999999</v>
      </c>
      <c r="P153" s="798">
        <v>33.044526785999999</v>
      </c>
      <c r="Q153" s="798">
        <v>33.250641508999998</v>
      </c>
      <c r="R153" s="798">
        <v>54.467245421000001</v>
      </c>
    </row>
    <row r="154" spans="1:42">
      <c r="A154" s="935">
        <v>42552</v>
      </c>
      <c r="B154" s="138">
        <v>35.636538461999997</v>
      </c>
      <c r="C154" s="138">
        <v>35.167214612000002</v>
      </c>
      <c r="D154" s="138">
        <v>34.395303030000001</v>
      </c>
      <c r="E154" s="138">
        <v>34.349142856999997</v>
      </c>
      <c r="F154" s="138">
        <v>56.990620155000002</v>
      </c>
      <c r="G154" s="145"/>
      <c r="H154" s="138">
        <v>34.943145833000003</v>
      </c>
      <c r="I154" s="138">
        <v>34.577820895999999</v>
      </c>
      <c r="J154" s="138">
        <v>33.807625000000002</v>
      </c>
      <c r="K154" s="138">
        <v>33.749203125000001</v>
      </c>
      <c r="L154" s="138">
        <v>56.340095238000004</v>
      </c>
      <c r="M154" s="145"/>
      <c r="N154" s="138">
        <v>34.739100000000001</v>
      </c>
      <c r="O154" s="138">
        <v>34.494071429000002</v>
      </c>
      <c r="P154" s="138">
        <v>33.608588744999999</v>
      </c>
      <c r="Q154" s="138">
        <v>33.621584906000002</v>
      </c>
      <c r="R154" s="138">
        <v>55.760779923000001</v>
      </c>
    </row>
    <row r="155" spans="1:42">
      <c r="A155" s="934">
        <v>42583</v>
      </c>
      <c r="B155" s="798">
        <v>37.381728395000003</v>
      </c>
      <c r="C155" s="798">
        <v>35.412968036999999</v>
      </c>
      <c r="D155" s="798">
        <v>34.627575757999999</v>
      </c>
      <c r="E155" s="798">
        <v>34.191285714000003</v>
      </c>
      <c r="F155" s="798">
        <v>55.986434109000001</v>
      </c>
      <c r="G155" s="145"/>
      <c r="H155" s="798">
        <v>36.662939999999999</v>
      </c>
      <c r="I155" s="798">
        <v>34.823194030000003</v>
      </c>
      <c r="J155" s="798">
        <v>34.055624999999999</v>
      </c>
      <c r="K155" s="798">
        <v>33.593734374999997</v>
      </c>
      <c r="L155" s="798">
        <v>55.417952380999999</v>
      </c>
      <c r="M155" s="145"/>
      <c r="N155" s="798">
        <v>36.551972788999997</v>
      </c>
      <c r="O155" s="798">
        <v>34.722821429</v>
      </c>
      <c r="P155" s="798">
        <v>33.905861471999998</v>
      </c>
      <c r="Q155" s="798">
        <v>33.480830189000002</v>
      </c>
      <c r="R155" s="798">
        <v>54.832942084999999</v>
      </c>
    </row>
    <row r="156" spans="1:42">
      <c r="A156" s="935">
        <v>42614</v>
      </c>
      <c r="B156" s="138">
        <v>36.213559322000002</v>
      </c>
      <c r="C156" s="138">
        <v>35.284063926999998</v>
      </c>
      <c r="D156" s="138">
        <v>34.633030302999998</v>
      </c>
      <c r="E156" s="138">
        <v>34.103623188</v>
      </c>
      <c r="F156" s="138">
        <v>55.350793650999996</v>
      </c>
      <c r="G156" s="145"/>
      <c r="H156" s="138">
        <v>35.511254545</v>
      </c>
      <c r="I156" s="138">
        <v>34.703641791000003</v>
      </c>
      <c r="J156" s="138">
        <v>34.044125000000001</v>
      </c>
      <c r="K156" s="138">
        <v>33.533603175000003</v>
      </c>
      <c r="L156" s="138">
        <v>54.751804878000002</v>
      </c>
      <c r="M156" s="145"/>
      <c r="N156" s="138">
        <v>35.285483282999998</v>
      </c>
      <c r="O156" s="138">
        <v>34.592107143</v>
      </c>
      <c r="P156" s="138">
        <v>33.861922077999999</v>
      </c>
      <c r="Q156" s="138">
        <v>33.412528301999998</v>
      </c>
      <c r="R156" s="138">
        <v>54.088501931000003</v>
      </c>
    </row>
    <row r="157" spans="1:42">
      <c r="A157" s="934">
        <v>42644</v>
      </c>
      <c r="B157" s="798">
        <v>43.704946237000001</v>
      </c>
      <c r="C157" s="798">
        <v>40.109406393</v>
      </c>
      <c r="D157" s="798">
        <v>38.265075758000002</v>
      </c>
      <c r="E157" s="798">
        <v>37.534999999999997</v>
      </c>
      <c r="F157" s="798">
        <v>55.830155038999997</v>
      </c>
      <c r="G157" s="145"/>
      <c r="H157" s="798">
        <v>42.986499999999999</v>
      </c>
      <c r="I157" s="798">
        <v>39.405522388000001</v>
      </c>
      <c r="J157" s="798">
        <v>37.559375000000003</v>
      </c>
      <c r="K157" s="798">
        <v>36.881921875000003</v>
      </c>
      <c r="L157" s="798">
        <v>55.212476189999997</v>
      </c>
      <c r="M157" s="145"/>
      <c r="N157" s="798">
        <v>42.792067226999997</v>
      </c>
      <c r="O157" s="798">
        <v>39.456704082000002</v>
      </c>
      <c r="P157" s="798">
        <v>37.563134198999997</v>
      </c>
      <c r="Q157" s="798">
        <v>36.733359788000001</v>
      </c>
      <c r="R157" s="798">
        <v>54.609857142999999</v>
      </c>
    </row>
    <row r="158" spans="1:42">
      <c r="A158" s="935">
        <v>42675</v>
      </c>
      <c r="B158" s="138">
        <v>49.168756219000002</v>
      </c>
      <c r="C158" s="138">
        <v>46.451515151999999</v>
      </c>
      <c r="D158" s="138">
        <v>42.914027777999998</v>
      </c>
      <c r="E158" s="138">
        <v>41.037999999999997</v>
      </c>
      <c r="F158" s="138">
        <v>57.334814815000001</v>
      </c>
      <c r="G158" s="145"/>
      <c r="H158" s="138">
        <v>48.495412698000003</v>
      </c>
      <c r="I158" s="138">
        <v>45.79</v>
      </c>
      <c r="J158" s="138">
        <v>42.303113635999999</v>
      </c>
      <c r="K158" s="138">
        <v>40.467753623</v>
      </c>
      <c r="L158" s="138">
        <v>56.600301887000001</v>
      </c>
      <c r="M158" s="145"/>
      <c r="N158" s="138">
        <v>48.352464286</v>
      </c>
      <c r="O158" s="138">
        <v>45.632423809999999</v>
      </c>
      <c r="P158" s="138">
        <v>42.210532819000001</v>
      </c>
      <c r="Q158" s="138">
        <v>40.359679802999999</v>
      </c>
      <c r="R158" s="138">
        <v>56.202641399000001</v>
      </c>
    </row>
    <row r="159" spans="1:42">
      <c r="A159" s="934">
        <v>42705</v>
      </c>
      <c r="B159" s="798">
        <v>41.1</v>
      </c>
      <c r="C159" s="798">
        <v>38.799999999999997</v>
      </c>
      <c r="D159" s="798">
        <v>37.299999999999997</v>
      </c>
      <c r="E159" s="798">
        <v>36.4</v>
      </c>
      <c r="F159" s="798">
        <v>58.5</v>
      </c>
      <c r="G159" s="145"/>
      <c r="H159" s="798">
        <v>40.4</v>
      </c>
      <c r="I159" s="798">
        <v>38.4</v>
      </c>
      <c r="J159" s="798">
        <v>36.9</v>
      </c>
      <c r="K159" s="798">
        <v>35.9</v>
      </c>
      <c r="L159" s="798">
        <v>57.7</v>
      </c>
      <c r="M159" s="145"/>
      <c r="N159" s="798">
        <v>40.1</v>
      </c>
      <c r="O159" s="798">
        <v>38.4</v>
      </c>
      <c r="P159" s="798">
        <v>36.799999999999997</v>
      </c>
      <c r="Q159" s="798">
        <v>35.9</v>
      </c>
      <c r="R159" s="798">
        <v>57.4</v>
      </c>
    </row>
    <row r="160" spans="1:42">
      <c r="A160" s="935">
        <v>42736</v>
      </c>
      <c r="B160" s="138">
        <v>38.460597014999998</v>
      </c>
      <c r="C160" s="138">
        <v>37.961428570999999</v>
      </c>
      <c r="D160" s="138">
        <v>36.816527778000001</v>
      </c>
      <c r="E160" s="138">
        <v>36.134414413999998</v>
      </c>
      <c r="F160" s="138">
        <v>58.008104574999997</v>
      </c>
      <c r="G160" s="145"/>
      <c r="H160" s="138"/>
      <c r="I160" s="138"/>
      <c r="J160" s="138"/>
      <c r="K160" s="138"/>
      <c r="L160" s="138">
        <v>62.656470587999998</v>
      </c>
      <c r="M160" s="145"/>
      <c r="N160" s="138"/>
      <c r="O160" s="138"/>
      <c r="P160" s="138"/>
      <c r="Q160" s="138"/>
      <c r="R160" s="138">
        <v>58.468235294000003</v>
      </c>
      <c r="S160" s="710"/>
      <c r="T160" s="710"/>
      <c r="U160" s="710"/>
      <c r="V160" s="710"/>
      <c r="W160" s="710"/>
      <c r="X160" s="710"/>
      <c r="Y160" s="710"/>
      <c r="Z160" s="710"/>
      <c r="AA160" s="710"/>
      <c r="AB160" s="710"/>
      <c r="AC160" s="710"/>
      <c r="AD160" s="710"/>
      <c r="AE160" s="710"/>
      <c r="AF160" s="710"/>
      <c r="AG160" s="710"/>
      <c r="AH160" s="710"/>
      <c r="AI160" s="710"/>
      <c r="AJ160" s="710"/>
      <c r="AK160" s="710"/>
      <c r="AL160" s="710"/>
      <c r="AM160" s="710"/>
      <c r="AN160" s="710"/>
      <c r="AO160" s="710"/>
      <c r="AP160" s="710"/>
    </row>
    <row r="161" spans="1:42">
      <c r="A161" s="934">
        <v>42767</v>
      </c>
      <c r="B161" s="798">
        <v>38.681428570999998</v>
      </c>
      <c r="C161" s="798">
        <v>36.948931623999997</v>
      </c>
      <c r="D161" s="798">
        <v>35.735486111</v>
      </c>
      <c r="E161" s="798">
        <v>35.017244443999999</v>
      </c>
      <c r="F161" s="798">
        <v>57.656415094000003</v>
      </c>
      <c r="G161" s="145"/>
      <c r="H161" s="798"/>
      <c r="I161" s="798"/>
      <c r="J161" s="798"/>
      <c r="K161" s="798"/>
      <c r="L161" s="798">
        <v>62.373396225999997</v>
      </c>
      <c r="M161" s="145"/>
      <c r="N161" s="798"/>
      <c r="O161" s="798"/>
      <c r="P161" s="798"/>
      <c r="Q161" s="798"/>
      <c r="R161" s="798">
        <v>58.123584905999998</v>
      </c>
      <c r="S161" s="710"/>
      <c r="T161" s="710"/>
      <c r="U161" s="710"/>
      <c r="V161" s="710"/>
      <c r="W161" s="710"/>
      <c r="X161" s="710"/>
      <c r="Y161" s="710"/>
      <c r="Z161" s="710"/>
      <c r="AA161" s="710"/>
      <c r="AB161" s="710"/>
      <c r="AC161" s="710"/>
      <c r="AD161" s="710"/>
      <c r="AE161" s="710"/>
      <c r="AF161" s="710"/>
      <c r="AG161" s="710"/>
      <c r="AH161" s="710"/>
      <c r="AI161" s="710"/>
      <c r="AJ161" s="710"/>
      <c r="AK161" s="710"/>
      <c r="AL161" s="710"/>
      <c r="AM161" s="710"/>
      <c r="AN161" s="710"/>
      <c r="AO161" s="710"/>
      <c r="AP161" s="710"/>
    </row>
    <row r="162" spans="1:42">
      <c r="A162" s="935">
        <v>42795</v>
      </c>
      <c r="B162" s="138">
        <v>36.535519125999997</v>
      </c>
      <c r="C162" s="138">
        <v>37.009333333000001</v>
      </c>
      <c r="D162" s="138">
        <v>35.682592593000003</v>
      </c>
      <c r="E162" s="138">
        <v>34.921461186999998</v>
      </c>
      <c r="F162" s="138">
        <v>57.627948717999999</v>
      </c>
      <c r="G162" s="145"/>
      <c r="H162" s="138"/>
      <c r="I162" s="138"/>
      <c r="J162" s="138"/>
      <c r="K162" s="138"/>
      <c r="L162" s="138">
        <v>62.363846154000001</v>
      </c>
      <c r="M162" s="145"/>
      <c r="N162" s="138"/>
      <c r="O162" s="138"/>
      <c r="P162" s="138"/>
      <c r="Q162" s="138"/>
      <c r="R162" s="138">
        <v>58.096923077</v>
      </c>
      <c r="S162" s="710"/>
      <c r="T162" s="710"/>
      <c r="U162" s="710"/>
      <c r="V162" s="710"/>
      <c r="W162" s="710"/>
      <c r="X162" s="710"/>
      <c r="Y162" s="710"/>
      <c r="Z162" s="710"/>
      <c r="AA162" s="710"/>
      <c r="AB162" s="710"/>
      <c r="AC162" s="710"/>
      <c r="AD162" s="710"/>
      <c r="AE162" s="710"/>
      <c r="AF162" s="710"/>
      <c r="AG162" s="710"/>
      <c r="AH162" s="710"/>
      <c r="AI162" s="710"/>
      <c r="AJ162" s="710"/>
      <c r="AK162" s="710"/>
      <c r="AL162" s="710"/>
      <c r="AM162" s="710"/>
      <c r="AN162" s="710"/>
      <c r="AO162" s="710"/>
      <c r="AP162" s="710"/>
    </row>
    <row r="163" spans="1:42">
      <c r="A163" s="934">
        <v>42826</v>
      </c>
      <c r="B163" s="798">
        <v>34.931562499999998</v>
      </c>
      <c r="C163" s="798">
        <v>36.549589040999997</v>
      </c>
      <c r="D163" s="798">
        <v>35.443560605999998</v>
      </c>
      <c r="E163" s="798">
        <v>34.768858447</v>
      </c>
      <c r="F163" s="798">
        <v>57.036730769000002</v>
      </c>
      <c r="G163" s="145"/>
      <c r="H163" s="798"/>
      <c r="I163" s="798"/>
      <c r="J163" s="798"/>
      <c r="K163" s="798"/>
      <c r="L163" s="798">
        <v>61.782884615</v>
      </c>
      <c r="M163" s="145"/>
      <c r="N163" s="798"/>
      <c r="O163" s="798"/>
      <c r="P163" s="798"/>
      <c r="Q163" s="798"/>
      <c r="R163" s="798">
        <v>57.506730769000001</v>
      </c>
      <c r="S163" s="710"/>
      <c r="T163" s="710"/>
      <c r="U163" s="710"/>
      <c r="V163" s="710"/>
      <c r="W163" s="710"/>
      <c r="X163" s="710"/>
      <c r="Y163" s="710"/>
      <c r="Z163" s="710"/>
      <c r="AA163" s="710"/>
      <c r="AB163" s="710"/>
      <c r="AC163" s="710"/>
      <c r="AD163" s="710"/>
      <c r="AE163" s="710"/>
      <c r="AF163" s="710"/>
      <c r="AG163" s="710"/>
      <c r="AH163" s="710"/>
      <c r="AI163" s="710"/>
      <c r="AJ163" s="710"/>
      <c r="AK163" s="710"/>
      <c r="AL163" s="710"/>
      <c r="AM163" s="710"/>
      <c r="AN163" s="710"/>
      <c r="AO163" s="710"/>
      <c r="AP163" s="710"/>
    </row>
    <row r="164" spans="1:42">
      <c r="A164" s="935">
        <v>42856</v>
      </c>
      <c r="B164" s="138">
        <v>35.999836066</v>
      </c>
      <c r="C164" s="138">
        <v>36.333150685</v>
      </c>
      <c r="D164" s="138">
        <v>35.302651515000001</v>
      </c>
      <c r="E164" s="138">
        <v>34.626118720999997</v>
      </c>
      <c r="F164" s="138">
        <v>55.740817610000001</v>
      </c>
      <c r="G164" s="145"/>
      <c r="H164" s="138"/>
      <c r="I164" s="138"/>
      <c r="J164" s="138"/>
      <c r="K164" s="138"/>
      <c r="L164" s="138">
        <v>60.515660377000003</v>
      </c>
      <c r="M164" s="145"/>
      <c r="N164" s="138"/>
      <c r="O164" s="138"/>
      <c r="P164" s="138"/>
      <c r="Q164" s="138"/>
      <c r="R164" s="138">
        <v>56.213773584999998</v>
      </c>
      <c r="S164" s="710"/>
      <c r="T164" s="710"/>
      <c r="U164" s="710"/>
      <c r="V164" s="710"/>
      <c r="W164" s="710"/>
      <c r="X164" s="710"/>
      <c r="Y164" s="710"/>
      <c r="Z164" s="710"/>
      <c r="AA164" s="710"/>
      <c r="AB164" s="710"/>
      <c r="AC164" s="710"/>
      <c r="AD164" s="710"/>
      <c r="AE164" s="710"/>
      <c r="AF164" s="710"/>
      <c r="AG164" s="710"/>
      <c r="AH164" s="710"/>
      <c r="AI164" s="710"/>
      <c r="AJ164" s="710"/>
      <c r="AK164" s="710"/>
      <c r="AL164" s="710"/>
      <c r="AM164" s="710"/>
      <c r="AN164" s="710"/>
      <c r="AO164" s="710"/>
      <c r="AP164" s="710"/>
    </row>
    <row r="165" spans="1:42">
      <c r="A165" s="934">
        <v>42887</v>
      </c>
      <c r="B165" s="798">
        <v>33.464343434</v>
      </c>
      <c r="C165" s="798">
        <v>37.026027397</v>
      </c>
      <c r="D165" s="798">
        <v>35.701742424000003</v>
      </c>
      <c r="E165" s="798">
        <v>35.062146118999998</v>
      </c>
      <c r="F165" s="798">
        <v>56.377908497</v>
      </c>
      <c r="G165" s="145"/>
      <c r="H165" s="798"/>
      <c r="I165" s="798"/>
      <c r="J165" s="798"/>
      <c r="K165" s="798"/>
      <c r="L165" s="798">
        <v>61.112549020000003</v>
      </c>
      <c r="M165" s="145"/>
      <c r="N165" s="798"/>
      <c r="O165" s="798"/>
      <c r="P165" s="798"/>
      <c r="Q165" s="798"/>
      <c r="R165" s="798">
        <v>56.846666667000001</v>
      </c>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row>
    <row r="166" spans="1:42">
      <c r="A166" s="935">
        <v>42917</v>
      </c>
      <c r="B166" s="138">
        <v>36.177333333</v>
      </c>
      <c r="C166" s="138">
        <v>37.929549549999997</v>
      </c>
      <c r="D166" s="138">
        <v>36.505407407</v>
      </c>
      <c r="E166" s="138">
        <v>35.672374429000001</v>
      </c>
      <c r="F166" s="138">
        <v>56.041437907999999</v>
      </c>
      <c r="G166" s="145"/>
      <c r="H166" s="138"/>
      <c r="I166" s="138"/>
      <c r="J166" s="138"/>
      <c r="K166" s="138"/>
      <c r="L166" s="138">
        <v>60.776078431000002</v>
      </c>
      <c r="M166" s="145"/>
      <c r="N166" s="138"/>
      <c r="O166" s="138"/>
      <c r="P166" s="138"/>
      <c r="Q166" s="138"/>
      <c r="R166" s="138">
        <v>56.510196078</v>
      </c>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row>
    <row r="167" spans="1:42">
      <c r="A167" s="716"/>
      <c r="B167" s="710"/>
      <c r="C167" s="710"/>
      <c r="D167" s="710"/>
      <c r="E167" s="710"/>
      <c r="F167" s="710"/>
      <c r="G167" s="710"/>
      <c r="H167" s="710"/>
      <c r="I167" s="710"/>
      <c r="J167" s="710"/>
      <c r="K167" s="710"/>
      <c r="L167" s="710"/>
      <c r="M167" s="710"/>
      <c r="N167" s="710"/>
      <c r="O167" s="710"/>
      <c r="P167" s="710"/>
      <c r="Q167" s="710"/>
      <c r="R167" s="710"/>
    </row>
    <row r="168" spans="1:42">
      <c r="A168" s="716"/>
      <c r="B168" s="710"/>
      <c r="C168" s="710"/>
      <c r="D168" s="710"/>
      <c r="E168" s="710"/>
      <c r="F168" s="710"/>
      <c r="G168" s="710"/>
      <c r="H168" s="710"/>
      <c r="I168" s="710"/>
      <c r="J168" s="710"/>
      <c r="K168" s="710"/>
      <c r="L168" s="710"/>
      <c r="M168" s="710"/>
      <c r="N168" s="710"/>
      <c r="O168" s="710"/>
      <c r="P168" s="710"/>
      <c r="Q168" s="710"/>
      <c r="R168" s="710"/>
    </row>
    <row r="169" spans="1:42">
      <c r="A169" s="716"/>
      <c r="B169" s="710"/>
      <c r="C169" s="710"/>
      <c r="D169" s="710"/>
      <c r="E169" s="710"/>
      <c r="F169" s="710"/>
      <c r="G169" s="710"/>
      <c r="H169" s="710"/>
      <c r="I169" s="710"/>
      <c r="J169" s="710"/>
      <c r="K169" s="710"/>
      <c r="L169" s="710"/>
      <c r="M169" s="710"/>
      <c r="N169" s="710"/>
      <c r="O169" s="710"/>
      <c r="P169" s="710"/>
      <c r="Q169" s="710"/>
      <c r="R169" s="710"/>
    </row>
    <row r="170" spans="1:42">
      <c r="A170" s="716"/>
      <c r="B170" s="710"/>
      <c r="C170" s="710"/>
      <c r="D170" s="710"/>
      <c r="E170" s="710"/>
      <c r="F170" s="710"/>
      <c r="G170" s="710"/>
      <c r="H170" s="710"/>
      <c r="I170" s="710"/>
      <c r="J170" s="710"/>
      <c r="K170" s="710"/>
      <c r="L170" s="710"/>
      <c r="M170" s="710"/>
      <c r="N170" s="710"/>
      <c r="O170" s="710"/>
      <c r="P170" s="710"/>
      <c r="Q170" s="710"/>
      <c r="R170" s="710"/>
    </row>
    <row r="171" spans="1:42">
      <c r="A171" s="716"/>
      <c r="B171" s="710"/>
      <c r="C171" s="710"/>
      <c r="D171" s="710"/>
      <c r="E171" s="710"/>
      <c r="F171" s="710"/>
      <c r="G171" s="710"/>
      <c r="H171" s="710"/>
      <c r="I171" s="710"/>
      <c r="J171" s="710"/>
      <c r="K171" s="710"/>
      <c r="L171" s="710"/>
      <c r="M171" s="710"/>
      <c r="N171" s="710"/>
      <c r="O171" s="710"/>
      <c r="P171" s="710"/>
      <c r="Q171" s="710"/>
      <c r="R171" s="710"/>
    </row>
    <row r="172" spans="1:42">
      <c r="A172" s="716"/>
      <c r="B172" s="710"/>
      <c r="C172" s="710"/>
      <c r="D172" s="710"/>
      <c r="E172" s="710"/>
      <c r="F172" s="710"/>
      <c r="G172" s="710"/>
      <c r="H172" s="710"/>
      <c r="I172" s="710"/>
      <c r="J172" s="710"/>
      <c r="K172" s="710"/>
      <c r="L172" s="710"/>
      <c r="M172" s="710"/>
      <c r="N172" s="710"/>
      <c r="O172" s="710"/>
      <c r="P172" s="710"/>
      <c r="Q172" s="710"/>
      <c r="R172" s="710"/>
    </row>
    <row r="173" spans="1:42">
      <c r="A173" s="730" t="s">
        <v>27</v>
      </c>
      <c r="B173" s="710"/>
      <c r="C173" s="710"/>
      <c r="D173" s="710"/>
      <c r="E173" s="710"/>
      <c r="F173" s="710"/>
      <c r="G173" s="710"/>
      <c r="H173" s="710"/>
      <c r="I173" s="710"/>
      <c r="J173" s="710"/>
      <c r="K173" s="710"/>
      <c r="L173" s="710"/>
      <c r="M173" s="710"/>
      <c r="N173" s="710"/>
      <c r="O173" s="710"/>
      <c r="P173" s="710"/>
      <c r="Q173" s="710"/>
      <c r="R173" s="710"/>
    </row>
    <row r="174" spans="1:42">
      <c r="A174" s="730" t="s">
        <v>482</v>
      </c>
      <c r="B174" s="710"/>
      <c r="C174" s="710"/>
      <c r="D174" s="710"/>
      <c r="E174" s="710"/>
      <c r="F174" s="710"/>
      <c r="G174" s="710"/>
      <c r="H174" s="710"/>
      <c r="I174" s="710"/>
      <c r="J174" s="710"/>
      <c r="K174" s="710"/>
      <c r="L174" s="710"/>
      <c r="M174" s="710"/>
      <c r="N174" s="710"/>
      <c r="O174" s="710"/>
      <c r="P174" s="710"/>
      <c r="Q174" s="710"/>
      <c r="R174" s="710"/>
    </row>
    <row r="175" spans="1:42">
      <c r="A175" s="711" t="s">
        <v>501</v>
      </c>
      <c r="B175" s="710"/>
      <c r="C175" s="710"/>
      <c r="D175" s="710"/>
      <c r="E175" s="710"/>
      <c r="F175" s="710"/>
      <c r="G175" s="710"/>
      <c r="H175" s="710"/>
      <c r="I175" s="710"/>
      <c r="J175" s="710"/>
      <c r="K175" s="710"/>
      <c r="L175" s="710"/>
      <c r="M175" s="710"/>
      <c r="N175" s="710"/>
      <c r="O175" s="710"/>
      <c r="P175" s="710"/>
      <c r="Q175" s="710"/>
      <c r="R175" s="710"/>
    </row>
    <row r="176" spans="1:42">
      <c r="A176" s="711" t="s">
        <v>531</v>
      </c>
      <c r="B176" s="710"/>
      <c r="C176" s="710"/>
      <c r="D176" s="710"/>
      <c r="E176" s="710"/>
      <c r="F176" s="710"/>
      <c r="G176" s="710"/>
      <c r="H176" s="710"/>
      <c r="I176" s="710"/>
      <c r="J176" s="710"/>
      <c r="K176" s="710"/>
      <c r="L176" s="710"/>
      <c r="M176" s="710"/>
      <c r="N176" s="710"/>
      <c r="O176" s="710"/>
      <c r="P176" s="710"/>
      <c r="Q176" s="710"/>
      <c r="R176" s="710"/>
    </row>
    <row r="177" spans="1:18">
      <c r="A177" s="799" t="s">
        <v>503</v>
      </c>
      <c r="B177" s="710"/>
      <c r="C177" s="710"/>
      <c r="D177" s="710"/>
      <c r="E177" s="710"/>
      <c r="F177" s="710"/>
      <c r="G177" s="710"/>
      <c r="H177" s="710"/>
      <c r="I177" s="710"/>
      <c r="J177" s="710"/>
      <c r="K177" s="710"/>
      <c r="L177" s="710"/>
      <c r="M177" s="710"/>
      <c r="N177" s="710"/>
      <c r="O177" s="710"/>
      <c r="P177" s="710"/>
      <c r="Q177" s="710"/>
      <c r="R177" s="710"/>
    </row>
    <row r="178" spans="1:18">
      <c r="A178" s="799" t="s">
        <v>941</v>
      </c>
      <c r="B178" s="710"/>
      <c r="C178" s="710"/>
      <c r="D178" s="710"/>
      <c r="E178" s="710"/>
      <c r="F178" s="710"/>
      <c r="G178" s="710"/>
      <c r="H178" s="710"/>
      <c r="I178" s="710"/>
      <c r="J178" s="710"/>
      <c r="K178" s="710"/>
      <c r="L178" s="710"/>
      <c r="M178" s="710"/>
      <c r="N178" s="710"/>
      <c r="O178" s="710"/>
      <c r="P178" s="710"/>
      <c r="Q178" s="710"/>
      <c r="R178" s="710"/>
    </row>
    <row r="179" spans="1:18">
      <c r="A179" s="716"/>
      <c r="B179" s="710"/>
      <c r="C179" s="710"/>
      <c r="D179" s="710"/>
      <c r="E179" s="710"/>
      <c r="F179" s="710"/>
      <c r="G179" s="710"/>
      <c r="H179" s="710"/>
      <c r="I179" s="710"/>
      <c r="J179" s="710"/>
      <c r="K179" s="710"/>
      <c r="L179" s="710"/>
      <c r="M179" s="710"/>
      <c r="N179" s="710"/>
      <c r="O179" s="710"/>
      <c r="P179" s="710"/>
      <c r="Q179" s="710"/>
      <c r="R179" s="710"/>
    </row>
    <row r="180" spans="1:18">
      <c r="A180" s="716"/>
      <c r="B180" s="710"/>
      <c r="C180" s="710"/>
      <c r="D180" s="710"/>
      <c r="E180" s="710"/>
      <c r="F180" s="710"/>
      <c r="G180" s="710"/>
      <c r="H180" s="710"/>
      <c r="I180" s="710"/>
      <c r="J180" s="710"/>
      <c r="K180" s="710"/>
      <c r="L180" s="710"/>
      <c r="M180" s="710"/>
      <c r="N180" s="710"/>
      <c r="O180" s="710"/>
      <c r="P180" s="710"/>
      <c r="Q180" s="710"/>
      <c r="R180" s="710"/>
    </row>
    <row r="181" spans="1:18">
      <c r="A181" s="716"/>
      <c r="B181" s="710"/>
      <c r="C181" s="710"/>
      <c r="D181" s="710"/>
      <c r="E181" s="710"/>
      <c r="F181" s="710"/>
      <c r="G181" s="710"/>
      <c r="H181" s="710"/>
      <c r="I181" s="710"/>
      <c r="J181" s="710"/>
      <c r="K181" s="710"/>
      <c r="L181" s="710"/>
      <c r="M181" s="710"/>
      <c r="N181" s="710"/>
      <c r="O181" s="710"/>
      <c r="P181" s="710"/>
      <c r="Q181" s="710"/>
      <c r="R181" s="710"/>
    </row>
    <row r="182" spans="1:18">
      <c r="A182" s="716"/>
      <c r="B182" s="710"/>
      <c r="C182" s="710"/>
      <c r="D182" s="710"/>
      <c r="E182" s="710"/>
      <c r="F182" s="710"/>
      <c r="G182" s="710"/>
      <c r="H182" s="710"/>
      <c r="I182" s="710"/>
      <c r="J182" s="710"/>
      <c r="K182" s="710"/>
      <c r="L182" s="710"/>
      <c r="M182" s="710"/>
      <c r="N182" s="710"/>
      <c r="O182" s="710"/>
      <c r="P182" s="710"/>
      <c r="Q182" s="710"/>
      <c r="R182" s="710"/>
    </row>
    <row r="183" spans="1:18">
      <c r="A183" s="716"/>
      <c r="B183" s="710"/>
      <c r="C183" s="710"/>
      <c r="D183" s="710"/>
      <c r="E183" s="710"/>
      <c r="F183" s="710"/>
      <c r="G183" s="710"/>
      <c r="H183" s="710"/>
      <c r="I183" s="710"/>
      <c r="J183" s="710"/>
      <c r="K183" s="710"/>
      <c r="L183" s="710"/>
      <c r="M183" s="710"/>
      <c r="N183" s="710"/>
      <c r="O183" s="710"/>
      <c r="P183" s="710"/>
      <c r="Q183" s="710"/>
      <c r="R183" s="710"/>
    </row>
    <row r="184" spans="1:18">
      <c r="A184" s="716"/>
      <c r="B184" s="710"/>
      <c r="C184" s="710"/>
      <c r="D184" s="710"/>
      <c r="E184" s="710"/>
      <c r="F184" s="710"/>
      <c r="G184" s="710"/>
      <c r="H184" s="710"/>
      <c r="I184" s="710"/>
      <c r="J184" s="710"/>
      <c r="K184" s="710"/>
      <c r="L184" s="710"/>
      <c r="M184" s="710"/>
      <c r="N184" s="710"/>
      <c r="O184" s="710"/>
      <c r="P184" s="710"/>
      <c r="Q184" s="710"/>
      <c r="R184" s="710"/>
    </row>
    <row r="185" spans="1:18">
      <c r="A185" s="716"/>
      <c r="B185" s="710"/>
      <c r="C185" s="710"/>
      <c r="D185" s="710"/>
      <c r="E185" s="710"/>
      <c r="F185" s="710"/>
      <c r="G185" s="710"/>
      <c r="H185" s="710"/>
      <c r="I185" s="710"/>
      <c r="J185" s="710"/>
      <c r="K185" s="710"/>
      <c r="L185" s="710"/>
      <c r="M185" s="710"/>
      <c r="N185" s="710"/>
      <c r="O185" s="710"/>
      <c r="P185" s="710"/>
      <c r="Q185" s="710"/>
      <c r="R185" s="710"/>
    </row>
    <row r="186" spans="1:18">
      <c r="A186" s="716"/>
      <c r="B186" s="710"/>
      <c r="C186" s="710"/>
      <c r="D186" s="710"/>
      <c r="E186" s="710"/>
      <c r="F186" s="710"/>
      <c r="G186" s="710"/>
      <c r="H186" s="710"/>
      <c r="I186" s="710"/>
      <c r="J186" s="710"/>
      <c r="K186" s="710"/>
      <c r="L186" s="710"/>
      <c r="M186" s="710"/>
      <c r="N186" s="710"/>
      <c r="O186" s="710"/>
      <c r="P186" s="710"/>
      <c r="Q186" s="710"/>
      <c r="R186" s="710"/>
    </row>
    <row r="187" spans="1:18">
      <c r="A187" s="716"/>
      <c r="B187" s="710"/>
      <c r="C187" s="710"/>
      <c r="D187" s="710"/>
      <c r="E187" s="710"/>
      <c r="F187" s="710"/>
      <c r="G187" s="710"/>
      <c r="H187" s="710"/>
      <c r="I187" s="710"/>
      <c r="J187" s="710"/>
      <c r="K187" s="710"/>
      <c r="L187" s="710"/>
      <c r="M187" s="710"/>
      <c r="N187" s="710"/>
      <c r="O187" s="710"/>
      <c r="P187" s="710"/>
      <c r="Q187" s="710"/>
      <c r="R187" s="710"/>
    </row>
    <row r="188" spans="1:18">
      <c r="A188" s="716"/>
      <c r="B188" s="710"/>
      <c r="C188" s="710"/>
      <c r="D188" s="710"/>
      <c r="E188" s="710"/>
      <c r="F188" s="710"/>
      <c r="G188" s="710"/>
      <c r="H188" s="710"/>
      <c r="I188" s="710"/>
      <c r="J188" s="710"/>
      <c r="K188" s="710"/>
      <c r="L188" s="710"/>
      <c r="M188" s="710"/>
      <c r="N188" s="710"/>
      <c r="O188" s="710"/>
      <c r="P188" s="710"/>
      <c r="Q188" s="710"/>
      <c r="R188" s="710"/>
    </row>
    <row r="189" spans="1:18">
      <c r="A189" s="716"/>
      <c r="B189" s="710"/>
      <c r="C189" s="710"/>
      <c r="D189" s="710"/>
      <c r="E189" s="710"/>
      <c r="F189" s="710"/>
      <c r="G189" s="710"/>
      <c r="H189" s="710"/>
      <c r="I189" s="710"/>
      <c r="J189" s="710"/>
      <c r="K189" s="710"/>
      <c r="L189" s="710"/>
      <c r="M189" s="710"/>
      <c r="N189" s="710"/>
      <c r="O189" s="710"/>
      <c r="P189" s="710"/>
      <c r="Q189" s="710"/>
      <c r="R189" s="710"/>
    </row>
    <row r="190" spans="1:18">
      <c r="A190" s="716"/>
      <c r="B190" s="710"/>
      <c r="C190" s="710"/>
      <c r="D190" s="710"/>
      <c r="E190" s="710"/>
      <c r="F190" s="710"/>
      <c r="G190" s="710"/>
      <c r="H190" s="710"/>
      <c r="I190" s="710"/>
      <c r="J190" s="710"/>
      <c r="K190" s="710"/>
      <c r="L190" s="710"/>
      <c r="M190" s="710"/>
      <c r="N190" s="710"/>
      <c r="O190" s="710"/>
      <c r="P190" s="710"/>
      <c r="Q190" s="710"/>
      <c r="R190" s="710"/>
    </row>
    <row r="191" spans="1:18">
      <c r="A191" s="716"/>
      <c r="B191" s="710"/>
      <c r="C191" s="710"/>
      <c r="D191" s="710"/>
      <c r="E191" s="710"/>
      <c r="F191" s="710"/>
      <c r="G191" s="710"/>
      <c r="H191" s="710"/>
      <c r="I191" s="710"/>
      <c r="J191" s="710"/>
      <c r="K191" s="710"/>
      <c r="L191" s="710"/>
      <c r="M191" s="710"/>
      <c r="N191" s="710"/>
      <c r="O191" s="710"/>
      <c r="P191" s="710"/>
      <c r="Q191" s="710"/>
      <c r="R191" s="710"/>
    </row>
    <row r="192" spans="1:18">
      <c r="A192" s="716"/>
      <c r="B192" s="710"/>
      <c r="C192" s="710"/>
      <c r="D192" s="710"/>
      <c r="E192" s="710"/>
      <c r="F192" s="710"/>
      <c r="G192" s="710"/>
      <c r="H192" s="710"/>
      <c r="I192" s="710"/>
      <c r="J192" s="710"/>
      <c r="K192" s="710"/>
      <c r="L192" s="710"/>
      <c r="M192" s="710"/>
      <c r="N192" s="710"/>
      <c r="O192" s="710"/>
      <c r="P192" s="710"/>
      <c r="Q192" s="710"/>
      <c r="R192" s="710"/>
    </row>
    <row r="193" spans="1:18">
      <c r="A193" s="716"/>
      <c r="B193" s="710"/>
      <c r="C193" s="710"/>
      <c r="D193" s="710"/>
      <c r="E193" s="710"/>
      <c r="F193" s="710"/>
      <c r="G193" s="710"/>
      <c r="H193" s="710"/>
      <c r="I193" s="710"/>
      <c r="J193" s="710"/>
      <c r="K193" s="710"/>
      <c r="L193" s="710"/>
      <c r="M193" s="710"/>
      <c r="N193" s="710"/>
      <c r="O193" s="710"/>
      <c r="P193" s="710"/>
      <c r="Q193" s="710"/>
      <c r="R193" s="710"/>
    </row>
    <row r="194" spans="1:18">
      <c r="A194" s="716"/>
      <c r="B194" s="710"/>
      <c r="C194" s="710"/>
      <c r="D194" s="710"/>
      <c r="E194" s="710"/>
      <c r="F194" s="710"/>
      <c r="G194" s="710"/>
      <c r="H194" s="710"/>
      <c r="I194" s="710"/>
      <c r="J194" s="710"/>
      <c r="K194" s="710"/>
      <c r="L194" s="710"/>
      <c r="M194" s="710"/>
      <c r="N194" s="710"/>
      <c r="O194" s="710"/>
      <c r="P194" s="710"/>
      <c r="Q194" s="710"/>
      <c r="R194" s="710"/>
    </row>
    <row r="195" spans="1:18">
      <c r="A195" s="716"/>
      <c r="B195" s="710"/>
      <c r="C195" s="710"/>
      <c r="D195" s="710"/>
      <c r="E195" s="710"/>
      <c r="F195" s="710"/>
      <c r="G195" s="710"/>
      <c r="H195" s="710"/>
      <c r="I195" s="710"/>
      <c r="J195" s="710"/>
      <c r="K195" s="710"/>
      <c r="L195" s="710"/>
      <c r="M195" s="710"/>
      <c r="N195" s="710"/>
      <c r="O195" s="710"/>
      <c r="P195" s="710"/>
      <c r="Q195" s="710"/>
      <c r="R195" s="710"/>
    </row>
    <row r="196" spans="1:18">
      <c r="A196" s="716"/>
      <c r="B196" s="710"/>
      <c r="C196" s="710"/>
      <c r="D196" s="710"/>
      <c r="E196" s="710"/>
      <c r="F196" s="710"/>
      <c r="G196" s="710"/>
      <c r="H196" s="710"/>
      <c r="I196" s="710"/>
      <c r="J196" s="710"/>
      <c r="K196" s="710"/>
      <c r="L196" s="710"/>
      <c r="M196" s="710"/>
      <c r="N196" s="710"/>
      <c r="O196" s="710"/>
      <c r="P196" s="710"/>
      <c r="Q196" s="710"/>
      <c r="R196" s="710"/>
    </row>
    <row r="197" spans="1:18">
      <c r="A197" s="716"/>
      <c r="B197" s="710"/>
      <c r="C197" s="710"/>
      <c r="D197" s="710"/>
      <c r="E197" s="710"/>
      <c r="F197" s="710"/>
      <c r="G197" s="710"/>
      <c r="H197" s="710"/>
      <c r="I197" s="710"/>
      <c r="J197" s="710"/>
      <c r="K197" s="710"/>
      <c r="L197" s="710"/>
      <c r="M197" s="710"/>
      <c r="N197" s="710"/>
      <c r="O197" s="710"/>
      <c r="P197" s="710"/>
      <c r="Q197" s="710"/>
      <c r="R197" s="710"/>
    </row>
    <row r="198" spans="1:18">
      <c r="A198" s="716"/>
      <c r="B198" s="710"/>
      <c r="C198" s="710"/>
      <c r="D198" s="710"/>
      <c r="E198" s="710"/>
      <c r="F198" s="710"/>
      <c r="G198" s="710"/>
      <c r="H198" s="710"/>
      <c r="I198" s="710"/>
      <c r="J198" s="710"/>
      <c r="K198" s="710"/>
      <c r="L198" s="710"/>
      <c r="M198" s="710"/>
      <c r="N198" s="710"/>
      <c r="O198" s="710"/>
      <c r="P198" s="710"/>
      <c r="Q198" s="710"/>
      <c r="R198" s="710"/>
    </row>
    <row r="199" spans="1:18">
      <c r="A199" s="716"/>
      <c r="B199" s="710"/>
      <c r="C199" s="710"/>
      <c r="D199" s="710"/>
      <c r="E199" s="710"/>
      <c r="F199" s="710"/>
      <c r="G199" s="710"/>
      <c r="H199" s="710"/>
      <c r="I199" s="710"/>
      <c r="J199" s="710"/>
      <c r="K199" s="710"/>
      <c r="L199" s="710"/>
      <c r="M199" s="710"/>
      <c r="N199" s="710"/>
      <c r="O199" s="710"/>
      <c r="P199" s="710"/>
      <c r="Q199" s="710"/>
      <c r="R199" s="710"/>
    </row>
    <row r="200" spans="1:18">
      <c r="A200" s="716"/>
      <c r="B200" s="710"/>
      <c r="C200" s="710"/>
      <c r="D200" s="710"/>
      <c r="E200" s="710"/>
      <c r="F200" s="710"/>
      <c r="G200" s="710"/>
      <c r="H200" s="710"/>
      <c r="I200" s="710"/>
      <c r="J200" s="710"/>
      <c r="K200" s="710"/>
      <c r="L200" s="710"/>
      <c r="M200" s="710"/>
      <c r="N200" s="710"/>
      <c r="O200" s="710"/>
      <c r="P200" s="710"/>
      <c r="Q200" s="710"/>
      <c r="R200" s="710"/>
    </row>
    <row r="201" spans="1:18">
      <c r="A201" s="716"/>
      <c r="B201" s="710"/>
      <c r="C201" s="710"/>
      <c r="D201" s="710"/>
      <c r="E201" s="710"/>
      <c r="F201" s="710"/>
      <c r="G201" s="710"/>
      <c r="H201" s="710"/>
      <c r="I201" s="710"/>
      <c r="J201" s="710"/>
      <c r="K201" s="710"/>
      <c r="L201" s="710"/>
      <c r="M201" s="710"/>
      <c r="N201" s="710"/>
      <c r="O201" s="710"/>
      <c r="P201" s="710"/>
      <c r="Q201" s="710"/>
      <c r="R201" s="710"/>
    </row>
    <row r="202" spans="1:18">
      <c r="A202" s="716"/>
      <c r="B202" s="710"/>
      <c r="C202" s="710"/>
      <c r="D202" s="710"/>
      <c r="E202" s="710"/>
      <c r="F202" s="710"/>
      <c r="G202" s="710"/>
      <c r="H202" s="710"/>
      <c r="I202" s="710"/>
      <c r="J202" s="710"/>
      <c r="K202" s="710"/>
      <c r="L202" s="710"/>
      <c r="M202" s="710"/>
      <c r="N202" s="710"/>
      <c r="O202" s="710"/>
      <c r="P202" s="710"/>
      <c r="Q202" s="710"/>
      <c r="R202" s="710"/>
    </row>
    <row r="203" spans="1:18">
      <c r="A203" s="716"/>
      <c r="B203" s="710"/>
      <c r="C203" s="710"/>
      <c r="D203" s="710"/>
      <c r="E203" s="710"/>
      <c r="F203" s="710"/>
      <c r="G203" s="710"/>
      <c r="H203" s="710"/>
      <c r="I203" s="710"/>
      <c r="J203" s="710"/>
      <c r="K203" s="710"/>
      <c r="L203" s="710"/>
      <c r="M203" s="710"/>
      <c r="N203" s="710"/>
      <c r="O203" s="710"/>
      <c r="P203" s="710"/>
      <c r="Q203" s="710"/>
      <c r="R203" s="710"/>
    </row>
    <row r="204" spans="1:18">
      <c r="A204" s="716"/>
      <c r="B204" s="710"/>
      <c r="C204" s="710"/>
      <c r="D204" s="710"/>
      <c r="E204" s="710"/>
      <c r="F204" s="710"/>
      <c r="G204" s="710"/>
      <c r="H204" s="710"/>
      <c r="I204" s="710"/>
      <c r="J204" s="710"/>
      <c r="K204" s="710"/>
      <c r="L204" s="710"/>
      <c r="M204" s="710"/>
      <c r="N204" s="710"/>
      <c r="O204" s="710"/>
      <c r="P204" s="710"/>
      <c r="Q204" s="710"/>
      <c r="R204" s="710"/>
    </row>
    <row r="205" spans="1:18">
      <c r="A205" s="716"/>
      <c r="B205" s="710"/>
      <c r="C205" s="710"/>
      <c r="D205" s="710"/>
      <c r="E205" s="710"/>
      <c r="F205" s="710"/>
      <c r="G205" s="710"/>
      <c r="H205" s="710"/>
      <c r="I205" s="710"/>
      <c r="J205" s="710"/>
      <c r="K205" s="710"/>
      <c r="L205" s="710"/>
      <c r="M205" s="710"/>
      <c r="N205" s="710"/>
      <c r="O205" s="710"/>
      <c r="P205" s="710"/>
      <c r="Q205" s="710"/>
      <c r="R205" s="710"/>
    </row>
    <row r="206" spans="1:18">
      <c r="A206" s="716"/>
      <c r="B206" s="710"/>
      <c r="C206" s="710"/>
      <c r="D206" s="710"/>
      <c r="E206" s="710"/>
      <c r="F206" s="710"/>
      <c r="G206" s="710"/>
      <c r="H206" s="710"/>
      <c r="I206" s="710"/>
      <c r="J206" s="710"/>
      <c r="K206" s="710"/>
      <c r="L206" s="710"/>
      <c r="M206" s="710"/>
      <c r="N206" s="710"/>
      <c r="O206" s="710"/>
      <c r="P206" s="710"/>
      <c r="Q206" s="710"/>
      <c r="R206" s="710"/>
    </row>
    <row r="207" spans="1:18">
      <c r="A207" s="716"/>
      <c r="B207" s="710"/>
      <c r="C207" s="710"/>
      <c r="D207" s="710"/>
      <c r="E207" s="710"/>
      <c r="F207" s="710"/>
      <c r="G207" s="710"/>
      <c r="H207" s="710"/>
      <c r="I207" s="710"/>
      <c r="J207" s="710"/>
      <c r="K207" s="710"/>
      <c r="L207" s="710"/>
      <c r="M207" s="710"/>
      <c r="N207" s="710"/>
      <c r="O207" s="710"/>
      <c r="P207" s="710"/>
      <c r="Q207" s="710"/>
      <c r="R207" s="710"/>
    </row>
    <row r="208" spans="1:18">
      <c r="A208" s="716"/>
      <c r="B208" s="710"/>
      <c r="C208" s="710"/>
      <c r="D208" s="710"/>
      <c r="E208" s="710"/>
      <c r="F208" s="710"/>
      <c r="G208" s="710"/>
      <c r="H208" s="710"/>
      <c r="I208" s="710"/>
      <c r="J208" s="710"/>
      <c r="K208" s="710"/>
      <c r="L208" s="710"/>
      <c r="M208" s="710"/>
      <c r="N208" s="710"/>
      <c r="O208" s="710"/>
      <c r="P208" s="710"/>
      <c r="Q208" s="710"/>
      <c r="R208" s="710"/>
    </row>
    <row r="209" spans="1:18">
      <c r="A209" s="716"/>
      <c r="B209" s="710"/>
      <c r="C209" s="710"/>
      <c r="D209" s="710"/>
      <c r="E209" s="710"/>
      <c r="F209" s="710"/>
      <c r="G209" s="710"/>
      <c r="H209" s="710"/>
      <c r="I209" s="710"/>
      <c r="J209" s="710"/>
      <c r="K209" s="710"/>
      <c r="L209" s="710"/>
      <c r="M209" s="710"/>
      <c r="N209" s="710"/>
      <c r="O209" s="710"/>
      <c r="P209" s="710"/>
      <c r="Q209" s="710"/>
      <c r="R209" s="710"/>
    </row>
    <row r="210" spans="1:18">
      <c r="A210" s="716"/>
      <c r="B210" s="710"/>
      <c r="C210" s="710"/>
      <c r="D210" s="710"/>
      <c r="E210" s="710"/>
      <c r="F210" s="710"/>
      <c r="G210" s="710"/>
      <c r="H210" s="710"/>
      <c r="I210" s="710"/>
      <c r="J210" s="710"/>
      <c r="K210" s="710"/>
      <c r="L210" s="710"/>
      <c r="M210" s="710"/>
      <c r="N210" s="710"/>
      <c r="O210" s="710"/>
      <c r="P210" s="710"/>
      <c r="Q210" s="710"/>
      <c r="R210" s="710"/>
    </row>
    <row r="211" spans="1:18">
      <c r="A211" s="716"/>
      <c r="B211" s="710"/>
      <c r="C211" s="710"/>
      <c r="D211" s="710"/>
      <c r="E211" s="710"/>
      <c r="F211" s="710"/>
      <c r="G211" s="710"/>
      <c r="H211" s="710"/>
      <c r="I211" s="710"/>
      <c r="J211" s="710"/>
      <c r="K211" s="710"/>
      <c r="L211" s="710"/>
      <c r="M211" s="710"/>
      <c r="N211" s="710"/>
      <c r="O211" s="710"/>
      <c r="P211" s="710"/>
      <c r="Q211" s="710"/>
      <c r="R211" s="710"/>
    </row>
    <row r="212" spans="1:18">
      <c r="A212" s="716"/>
      <c r="B212" s="710"/>
      <c r="C212" s="710"/>
      <c r="D212" s="710"/>
      <c r="E212" s="710"/>
      <c r="F212" s="710"/>
      <c r="G212" s="710"/>
      <c r="H212" s="710"/>
      <c r="I212" s="710"/>
      <c r="J212" s="710"/>
      <c r="K212" s="710"/>
      <c r="L212" s="710"/>
      <c r="M212" s="710"/>
      <c r="N212" s="710"/>
      <c r="O212" s="710"/>
      <c r="P212" s="710"/>
      <c r="Q212" s="710"/>
      <c r="R212" s="710"/>
    </row>
    <row r="213" spans="1:18">
      <c r="A213" s="716"/>
      <c r="B213" s="710"/>
      <c r="C213" s="710"/>
      <c r="D213" s="710"/>
      <c r="E213" s="710"/>
      <c r="F213" s="710"/>
      <c r="G213" s="710"/>
      <c r="H213" s="710"/>
      <c r="I213" s="710"/>
      <c r="J213" s="710"/>
      <c r="K213" s="710"/>
      <c r="L213" s="710"/>
      <c r="M213" s="710"/>
      <c r="N213" s="710"/>
      <c r="O213" s="710"/>
      <c r="P213" s="710"/>
      <c r="Q213" s="710"/>
      <c r="R213" s="710"/>
    </row>
    <row r="214" spans="1:18">
      <c r="A214" s="716"/>
      <c r="B214" s="710"/>
      <c r="C214" s="710"/>
      <c r="D214" s="710"/>
      <c r="E214" s="710"/>
      <c r="F214" s="710"/>
      <c r="G214" s="710"/>
      <c r="H214" s="710"/>
      <c r="I214" s="710"/>
      <c r="J214" s="710"/>
      <c r="K214" s="710"/>
      <c r="L214" s="710"/>
      <c r="M214" s="710"/>
      <c r="N214" s="710"/>
      <c r="O214" s="710"/>
      <c r="P214" s="710"/>
      <c r="Q214" s="710"/>
      <c r="R214" s="710"/>
    </row>
    <row r="215" spans="1:18">
      <c r="A215" s="716"/>
      <c r="B215" s="710"/>
      <c r="C215" s="710"/>
      <c r="D215" s="710"/>
      <c r="E215" s="710"/>
      <c r="F215" s="710"/>
      <c r="G215" s="710"/>
      <c r="H215" s="710"/>
      <c r="I215" s="710"/>
      <c r="J215" s="710"/>
      <c r="K215" s="710"/>
      <c r="L215" s="710"/>
      <c r="M215" s="710"/>
      <c r="N215" s="710"/>
      <c r="O215" s="710"/>
      <c r="P215" s="710"/>
      <c r="Q215" s="710"/>
      <c r="R215" s="710"/>
    </row>
    <row r="216" spans="1:18">
      <c r="A216" s="716"/>
      <c r="B216" s="710"/>
      <c r="C216" s="710"/>
      <c r="D216" s="710"/>
      <c r="E216" s="710"/>
      <c r="F216" s="710"/>
      <c r="G216" s="710"/>
      <c r="H216" s="710"/>
      <c r="I216" s="710"/>
      <c r="J216" s="710"/>
      <c r="K216" s="710"/>
      <c r="L216" s="710"/>
      <c r="M216" s="710"/>
      <c r="N216" s="710"/>
      <c r="O216" s="710"/>
      <c r="P216" s="710"/>
      <c r="Q216" s="710"/>
      <c r="R216" s="710"/>
    </row>
    <row r="217" spans="1:18">
      <c r="A217" s="716"/>
      <c r="B217" s="710"/>
      <c r="C217" s="710"/>
      <c r="D217" s="710"/>
      <c r="E217" s="710"/>
      <c r="F217" s="710"/>
      <c r="G217" s="710"/>
      <c r="H217" s="710"/>
      <c r="I217" s="710"/>
      <c r="J217" s="710"/>
      <c r="K217" s="710"/>
      <c r="L217" s="710"/>
      <c r="M217" s="710"/>
      <c r="N217" s="710"/>
      <c r="O217" s="710"/>
      <c r="P217" s="710"/>
      <c r="Q217" s="710"/>
      <c r="R217" s="710"/>
    </row>
    <row r="218" spans="1:18">
      <c r="A218" s="716"/>
      <c r="B218" s="710"/>
      <c r="C218" s="710"/>
      <c r="D218" s="710"/>
      <c r="E218" s="710"/>
      <c r="F218" s="710"/>
      <c r="G218" s="710"/>
      <c r="H218" s="710"/>
      <c r="I218" s="710"/>
      <c r="J218" s="710"/>
      <c r="K218" s="710"/>
      <c r="L218" s="710"/>
      <c r="M218" s="710"/>
      <c r="N218" s="710"/>
      <c r="O218" s="710"/>
      <c r="P218" s="710"/>
      <c r="Q218" s="710"/>
      <c r="R218" s="710"/>
    </row>
    <row r="219" spans="1:18">
      <c r="A219" s="716"/>
      <c r="B219" s="710"/>
      <c r="C219" s="710"/>
      <c r="D219" s="710"/>
      <c r="E219" s="710"/>
      <c r="F219" s="710"/>
      <c r="G219" s="710"/>
      <c r="H219" s="710"/>
      <c r="I219" s="710"/>
      <c r="J219" s="710"/>
      <c r="K219" s="710"/>
      <c r="L219" s="710"/>
      <c r="M219" s="710"/>
      <c r="N219" s="710"/>
      <c r="O219" s="710"/>
      <c r="P219" s="710"/>
      <c r="Q219" s="710"/>
      <c r="R219" s="710"/>
    </row>
    <row r="220" spans="1:18">
      <c r="A220" s="716"/>
      <c r="B220" s="710"/>
      <c r="C220" s="710"/>
      <c r="D220" s="710"/>
      <c r="E220" s="710"/>
      <c r="F220" s="710"/>
      <c r="G220" s="710"/>
      <c r="H220" s="710"/>
      <c r="I220" s="710"/>
      <c r="J220" s="710"/>
      <c r="K220" s="710"/>
      <c r="L220" s="710"/>
      <c r="M220" s="710"/>
      <c r="N220" s="710"/>
      <c r="O220" s="710"/>
      <c r="P220" s="710"/>
      <c r="Q220" s="710"/>
      <c r="R220" s="710"/>
    </row>
    <row r="221" spans="1:18">
      <c r="A221" s="716"/>
      <c r="B221" s="710"/>
      <c r="C221" s="710"/>
      <c r="D221" s="710"/>
      <c r="E221" s="710"/>
      <c r="F221" s="710"/>
      <c r="G221" s="710"/>
      <c r="H221" s="710"/>
      <c r="I221" s="710"/>
      <c r="J221" s="710"/>
      <c r="K221" s="710"/>
      <c r="L221" s="710"/>
      <c r="M221" s="710"/>
      <c r="N221" s="710"/>
      <c r="O221" s="710"/>
      <c r="P221" s="710"/>
      <c r="Q221" s="710"/>
      <c r="R221" s="710"/>
    </row>
    <row r="222" spans="1:18">
      <c r="A222" s="716"/>
      <c r="B222" s="710"/>
      <c r="C222" s="710"/>
      <c r="D222" s="710"/>
      <c r="E222" s="710"/>
      <c r="F222" s="710"/>
      <c r="G222" s="710"/>
      <c r="H222" s="710"/>
      <c r="I222" s="710"/>
      <c r="J222" s="710"/>
      <c r="K222" s="710"/>
      <c r="L222" s="710"/>
      <c r="M222" s="710"/>
      <c r="N222" s="710"/>
      <c r="O222" s="710"/>
      <c r="P222" s="710"/>
      <c r="Q222" s="710"/>
      <c r="R222" s="710"/>
    </row>
    <row r="223" spans="1:18">
      <c r="A223" s="716"/>
      <c r="B223" s="710"/>
      <c r="C223" s="710"/>
      <c r="D223" s="710"/>
      <c r="E223" s="710"/>
      <c r="F223" s="710"/>
      <c r="G223" s="710"/>
      <c r="H223" s="710"/>
      <c r="I223" s="710"/>
      <c r="J223" s="710"/>
      <c r="K223" s="710"/>
      <c r="L223" s="710"/>
      <c r="M223" s="710"/>
      <c r="N223" s="710"/>
      <c r="O223" s="710"/>
      <c r="P223" s="710"/>
      <c r="Q223" s="710"/>
      <c r="R223" s="710"/>
    </row>
    <row r="224" spans="1:18">
      <c r="A224" s="716"/>
      <c r="B224" s="710"/>
      <c r="C224" s="710"/>
      <c r="D224" s="710"/>
      <c r="E224" s="710"/>
      <c r="F224" s="710"/>
      <c r="G224" s="710"/>
      <c r="H224" s="710"/>
      <c r="I224" s="710"/>
      <c r="J224" s="710"/>
      <c r="K224" s="710"/>
      <c r="L224" s="710"/>
      <c r="M224" s="710"/>
      <c r="N224" s="710"/>
      <c r="O224" s="710"/>
      <c r="P224" s="710"/>
      <c r="Q224" s="710"/>
      <c r="R224" s="710"/>
    </row>
    <row r="225" spans="1:18">
      <c r="A225" s="716"/>
      <c r="B225" s="710"/>
      <c r="C225" s="710"/>
      <c r="D225" s="710"/>
      <c r="E225" s="710"/>
      <c r="F225" s="710"/>
      <c r="G225" s="710"/>
      <c r="H225" s="710"/>
      <c r="I225" s="710"/>
      <c r="J225" s="710"/>
      <c r="K225" s="710"/>
      <c r="L225" s="710"/>
      <c r="M225" s="710"/>
      <c r="N225" s="710"/>
      <c r="O225" s="710"/>
      <c r="P225" s="710"/>
      <c r="Q225" s="710"/>
      <c r="R225" s="710"/>
    </row>
    <row r="226" spans="1:18">
      <c r="A226" s="716"/>
      <c r="B226" s="710"/>
      <c r="C226" s="710"/>
      <c r="D226" s="710"/>
      <c r="E226" s="710"/>
      <c r="F226" s="710"/>
      <c r="G226" s="710"/>
      <c r="H226" s="710"/>
      <c r="I226" s="710"/>
      <c r="J226" s="710"/>
      <c r="K226" s="710"/>
      <c r="L226" s="710"/>
      <c r="M226" s="710"/>
      <c r="N226" s="710"/>
      <c r="O226" s="710"/>
      <c r="P226" s="710"/>
      <c r="Q226" s="710"/>
      <c r="R226" s="710"/>
    </row>
    <row r="227" spans="1:18">
      <c r="A227" s="716"/>
      <c r="B227" s="710"/>
      <c r="C227" s="710"/>
      <c r="D227" s="710"/>
      <c r="E227" s="710"/>
      <c r="F227" s="710"/>
      <c r="G227" s="710"/>
      <c r="H227" s="710"/>
      <c r="I227" s="710"/>
      <c r="J227" s="710"/>
      <c r="K227" s="710"/>
      <c r="L227" s="710"/>
      <c r="M227" s="710"/>
      <c r="N227" s="710"/>
      <c r="O227" s="710"/>
      <c r="P227" s="710"/>
      <c r="Q227" s="710"/>
      <c r="R227" s="710"/>
    </row>
    <row r="228" spans="1:18">
      <c r="A228" s="716"/>
      <c r="B228" s="710"/>
      <c r="C228" s="710"/>
      <c r="D228" s="710"/>
      <c r="E228" s="710"/>
      <c r="F228" s="710"/>
      <c r="G228" s="710"/>
      <c r="H228" s="710"/>
      <c r="I228" s="710"/>
      <c r="J228" s="710"/>
      <c r="K228" s="710"/>
      <c r="L228" s="710"/>
      <c r="M228" s="710"/>
      <c r="N228" s="710"/>
      <c r="O228" s="710"/>
      <c r="P228" s="710"/>
      <c r="Q228" s="710"/>
      <c r="R228" s="710"/>
    </row>
    <row r="229" spans="1:18">
      <c r="A229" s="716"/>
      <c r="B229" s="710"/>
      <c r="C229" s="710"/>
      <c r="D229" s="710"/>
      <c r="E229" s="710"/>
      <c r="F229" s="710"/>
      <c r="G229" s="710"/>
      <c r="H229" s="710"/>
      <c r="I229" s="710"/>
      <c r="J229" s="710"/>
      <c r="K229" s="710"/>
      <c r="L229" s="710"/>
      <c r="M229" s="710"/>
      <c r="N229" s="710"/>
      <c r="O229" s="710"/>
      <c r="P229" s="710"/>
      <c r="Q229" s="710"/>
      <c r="R229" s="710"/>
    </row>
    <row r="230" spans="1:18">
      <c r="A230" s="716"/>
      <c r="B230" s="710"/>
      <c r="C230" s="710"/>
      <c r="D230" s="710"/>
      <c r="E230" s="710"/>
      <c r="F230" s="710"/>
      <c r="G230" s="710"/>
      <c r="H230" s="710"/>
      <c r="I230" s="710"/>
      <c r="J230" s="710"/>
      <c r="K230" s="710"/>
      <c r="L230" s="710"/>
      <c r="M230" s="710"/>
      <c r="N230" s="710"/>
      <c r="O230" s="710"/>
      <c r="P230" s="710"/>
      <c r="Q230" s="710"/>
      <c r="R230" s="710"/>
    </row>
    <row r="231" spans="1:18">
      <c r="A231" s="716"/>
      <c r="B231" s="710"/>
      <c r="C231" s="710"/>
      <c r="D231" s="710"/>
      <c r="E231" s="710"/>
      <c r="F231" s="710"/>
      <c r="G231" s="710"/>
      <c r="H231" s="710"/>
      <c r="I231" s="710"/>
      <c r="J231" s="710"/>
      <c r="K231" s="710"/>
      <c r="L231" s="710"/>
      <c r="M231" s="710"/>
      <c r="N231" s="710"/>
      <c r="O231" s="710"/>
      <c r="P231" s="710"/>
      <c r="Q231" s="710"/>
      <c r="R231" s="710"/>
    </row>
    <row r="232" spans="1:18">
      <c r="A232" s="716"/>
      <c r="B232" s="710"/>
      <c r="C232" s="710"/>
      <c r="D232" s="710"/>
      <c r="E232" s="710"/>
      <c r="F232" s="710"/>
      <c r="G232" s="710"/>
      <c r="H232" s="710"/>
      <c r="I232" s="710"/>
      <c r="J232" s="710"/>
      <c r="K232" s="710"/>
      <c r="L232" s="710"/>
      <c r="M232" s="710"/>
      <c r="N232" s="710"/>
      <c r="O232" s="710"/>
      <c r="P232" s="710"/>
      <c r="Q232" s="710"/>
      <c r="R232" s="710"/>
    </row>
    <row r="233" spans="1:18">
      <c r="A233" s="716"/>
      <c r="B233" s="710"/>
      <c r="C233" s="710"/>
      <c r="D233" s="710"/>
      <c r="E233" s="710"/>
      <c r="F233" s="710"/>
      <c r="G233" s="710"/>
      <c r="H233" s="710"/>
      <c r="I233" s="710"/>
      <c r="J233" s="710"/>
      <c r="K233" s="710"/>
      <c r="L233" s="710"/>
      <c r="M233" s="710"/>
      <c r="N233" s="710"/>
      <c r="O233" s="710"/>
      <c r="P233" s="710"/>
      <c r="Q233" s="710"/>
      <c r="R233" s="710"/>
    </row>
    <row r="234" spans="1:18">
      <c r="A234" s="716"/>
      <c r="B234" s="710"/>
      <c r="C234" s="710"/>
      <c r="D234" s="710"/>
      <c r="E234" s="710"/>
      <c r="F234" s="710"/>
      <c r="G234" s="710"/>
      <c r="H234" s="710"/>
      <c r="I234" s="710"/>
      <c r="J234" s="710"/>
      <c r="K234" s="710"/>
      <c r="L234" s="710"/>
      <c r="M234" s="710"/>
      <c r="N234" s="710"/>
      <c r="O234" s="710"/>
      <c r="P234" s="710"/>
      <c r="Q234" s="710"/>
      <c r="R234" s="710"/>
    </row>
    <row r="235" spans="1:18">
      <c r="A235" s="716"/>
      <c r="B235" s="710"/>
      <c r="C235" s="710"/>
      <c r="D235" s="710"/>
      <c r="E235" s="710"/>
      <c r="F235" s="710"/>
      <c r="G235" s="710"/>
      <c r="H235" s="710"/>
      <c r="I235" s="710"/>
      <c r="J235" s="710"/>
      <c r="K235" s="710"/>
      <c r="L235" s="710"/>
      <c r="M235" s="710"/>
      <c r="N235" s="710"/>
      <c r="O235" s="710"/>
      <c r="P235" s="710"/>
      <c r="Q235" s="710"/>
      <c r="R235" s="710"/>
    </row>
    <row r="236" spans="1:18">
      <c r="A236" s="716"/>
      <c r="B236" s="710"/>
      <c r="C236" s="710"/>
      <c r="D236" s="710"/>
      <c r="E236" s="710"/>
      <c r="F236" s="710"/>
      <c r="G236" s="710"/>
      <c r="H236" s="710"/>
      <c r="I236" s="710"/>
      <c r="J236" s="710"/>
      <c r="K236" s="710"/>
      <c r="L236" s="710"/>
      <c r="M236" s="710"/>
      <c r="N236" s="710"/>
      <c r="O236" s="710"/>
      <c r="P236" s="710"/>
      <c r="Q236" s="710"/>
      <c r="R236" s="710"/>
    </row>
    <row r="237" spans="1:18">
      <c r="A237" s="716"/>
      <c r="B237" s="710"/>
      <c r="C237" s="710"/>
      <c r="D237" s="710"/>
      <c r="E237" s="710"/>
      <c r="F237" s="710"/>
      <c r="G237" s="710"/>
      <c r="H237" s="710"/>
      <c r="I237" s="710"/>
      <c r="J237" s="710"/>
      <c r="K237" s="710"/>
      <c r="L237" s="710"/>
      <c r="M237" s="710"/>
      <c r="N237" s="710"/>
      <c r="O237" s="710"/>
      <c r="P237" s="710"/>
      <c r="Q237" s="710"/>
      <c r="R237" s="710"/>
    </row>
    <row r="238" spans="1:18">
      <c r="A238" s="716"/>
      <c r="B238" s="710"/>
      <c r="C238" s="710"/>
      <c r="D238" s="710"/>
      <c r="E238" s="710"/>
      <c r="F238" s="710"/>
      <c r="G238" s="710"/>
      <c r="H238" s="710"/>
      <c r="I238" s="710"/>
      <c r="J238" s="710"/>
      <c r="K238" s="710"/>
      <c r="L238" s="710"/>
      <c r="M238" s="710"/>
      <c r="N238" s="710"/>
      <c r="O238" s="710"/>
      <c r="P238" s="710"/>
      <c r="Q238" s="710"/>
      <c r="R238" s="710"/>
    </row>
    <row r="239" spans="1:18">
      <c r="A239" s="716"/>
      <c r="B239" s="710"/>
      <c r="C239" s="710"/>
      <c r="D239" s="710"/>
      <c r="E239" s="710"/>
      <c r="F239" s="710"/>
      <c r="G239" s="710"/>
      <c r="H239" s="710"/>
      <c r="I239" s="710"/>
      <c r="J239" s="710"/>
      <c r="K239" s="710"/>
      <c r="L239" s="710"/>
      <c r="M239" s="710"/>
      <c r="N239" s="710"/>
      <c r="O239" s="710"/>
      <c r="P239" s="710"/>
      <c r="Q239" s="710"/>
      <c r="R239" s="710"/>
    </row>
    <row r="240" spans="1:18">
      <c r="A240" s="716"/>
      <c r="B240" s="710"/>
      <c r="C240" s="710"/>
      <c r="D240" s="710"/>
      <c r="E240" s="710"/>
      <c r="F240" s="710"/>
      <c r="G240" s="710"/>
      <c r="H240" s="710"/>
      <c r="I240" s="710"/>
      <c r="J240" s="710"/>
      <c r="K240" s="710"/>
      <c r="L240" s="710"/>
      <c r="M240" s="710"/>
      <c r="N240" s="710"/>
      <c r="O240" s="710"/>
      <c r="P240" s="710"/>
      <c r="Q240" s="710"/>
      <c r="R240" s="710"/>
    </row>
    <row r="241" spans="1:18">
      <c r="A241" s="716"/>
      <c r="B241" s="710"/>
      <c r="C241" s="710"/>
      <c r="D241" s="710"/>
      <c r="E241" s="710"/>
      <c r="F241" s="710"/>
      <c r="G241" s="710"/>
      <c r="H241" s="710"/>
      <c r="I241" s="710"/>
      <c r="J241" s="710"/>
      <c r="K241" s="710"/>
      <c r="L241" s="710"/>
      <c r="M241" s="710"/>
      <c r="N241" s="710"/>
      <c r="O241" s="710"/>
      <c r="P241" s="710"/>
      <c r="Q241" s="710"/>
      <c r="R241" s="710"/>
    </row>
    <row r="242" spans="1:18">
      <c r="A242" s="716"/>
      <c r="B242" s="710"/>
      <c r="C242" s="710"/>
      <c r="D242" s="710"/>
      <c r="E242" s="710"/>
      <c r="F242" s="710"/>
      <c r="G242" s="710"/>
      <c r="H242" s="710"/>
      <c r="I242" s="710"/>
      <c r="J242" s="710"/>
      <c r="K242" s="710"/>
      <c r="L242" s="710"/>
      <c r="M242" s="710"/>
      <c r="N242" s="710"/>
      <c r="O242" s="710"/>
      <c r="P242" s="710"/>
      <c r="Q242" s="710"/>
      <c r="R242" s="710"/>
    </row>
    <row r="243" spans="1:18">
      <c r="A243" s="716"/>
      <c r="B243" s="710"/>
      <c r="C243" s="710"/>
      <c r="D243" s="710"/>
      <c r="E243" s="710"/>
      <c r="F243" s="710"/>
      <c r="G243" s="710"/>
      <c r="H243" s="710"/>
      <c r="I243" s="710"/>
      <c r="J243" s="710"/>
      <c r="K243" s="710"/>
      <c r="L243" s="710"/>
      <c r="M243" s="710"/>
      <c r="N243" s="710"/>
      <c r="O243" s="710"/>
      <c r="P243" s="710"/>
      <c r="Q243" s="710"/>
      <c r="R243" s="710"/>
    </row>
    <row r="244" spans="1:18">
      <c r="A244" s="716"/>
      <c r="B244" s="710"/>
      <c r="C244" s="710"/>
      <c r="D244" s="710"/>
      <c r="E244" s="710"/>
      <c r="F244" s="710"/>
      <c r="G244" s="710"/>
      <c r="H244" s="710"/>
      <c r="I244" s="710"/>
      <c r="J244" s="710"/>
      <c r="K244" s="710"/>
      <c r="L244" s="710"/>
      <c r="M244" s="710"/>
      <c r="N244" s="710"/>
      <c r="O244" s="710"/>
      <c r="P244" s="710"/>
      <c r="Q244" s="710"/>
      <c r="R244" s="710"/>
    </row>
    <row r="245" spans="1:18">
      <c r="A245" s="716"/>
      <c r="B245" s="710"/>
      <c r="C245" s="710"/>
      <c r="D245" s="710"/>
      <c r="E245" s="710"/>
      <c r="F245" s="710"/>
      <c r="G245" s="710"/>
      <c r="H245" s="710"/>
      <c r="I245" s="710"/>
      <c r="J245" s="710"/>
      <c r="K245" s="710"/>
      <c r="L245" s="710"/>
      <c r="M245" s="710"/>
      <c r="N245" s="710"/>
      <c r="O245" s="710"/>
      <c r="P245" s="710"/>
      <c r="Q245" s="710"/>
      <c r="R245" s="710"/>
    </row>
    <row r="246" spans="1:18">
      <c r="A246" s="716"/>
      <c r="B246" s="710"/>
      <c r="C246" s="710"/>
      <c r="D246" s="710"/>
      <c r="E246" s="710"/>
      <c r="F246" s="710"/>
      <c r="G246" s="710"/>
      <c r="H246" s="710"/>
      <c r="I246" s="710"/>
      <c r="J246" s="710"/>
      <c r="K246" s="710"/>
      <c r="L246" s="710"/>
      <c r="M246" s="710"/>
      <c r="N246" s="710"/>
      <c r="O246" s="710"/>
      <c r="P246" s="710"/>
      <c r="Q246" s="710"/>
      <c r="R246" s="710"/>
    </row>
    <row r="247" spans="1:18">
      <c r="A247" s="716"/>
      <c r="B247" s="710"/>
      <c r="C247" s="710"/>
      <c r="D247" s="710"/>
      <c r="E247" s="710"/>
      <c r="F247" s="710"/>
      <c r="G247" s="710"/>
      <c r="H247" s="710"/>
      <c r="I247" s="710"/>
      <c r="J247" s="710"/>
      <c r="K247" s="710"/>
      <c r="L247" s="710"/>
      <c r="M247" s="710"/>
      <c r="N247" s="710"/>
      <c r="O247" s="710"/>
      <c r="P247" s="710"/>
      <c r="Q247" s="710"/>
      <c r="R247" s="710"/>
    </row>
    <row r="248" spans="1:18">
      <c r="A248" s="716"/>
      <c r="B248" s="710"/>
      <c r="C248" s="710"/>
      <c r="D248" s="710"/>
      <c r="E248" s="710"/>
      <c r="F248" s="710"/>
      <c r="G248" s="710"/>
      <c r="H248" s="710"/>
      <c r="I248" s="710"/>
      <c r="J248" s="710"/>
      <c r="K248" s="710"/>
      <c r="L248" s="710"/>
      <c r="M248" s="710"/>
      <c r="N248" s="710"/>
      <c r="O248" s="710"/>
      <c r="P248" s="710"/>
      <c r="Q248" s="710"/>
      <c r="R248" s="710"/>
    </row>
    <row r="249" spans="1:18">
      <c r="A249" s="716"/>
      <c r="B249" s="710"/>
      <c r="C249" s="710"/>
      <c r="D249" s="710"/>
      <c r="E249" s="710"/>
      <c r="F249" s="710"/>
      <c r="G249" s="710"/>
      <c r="H249" s="710"/>
      <c r="I249" s="710"/>
      <c r="J249" s="710"/>
      <c r="K249" s="710"/>
      <c r="L249" s="710"/>
      <c r="M249" s="710"/>
      <c r="N249" s="710"/>
      <c r="O249" s="710"/>
      <c r="P249" s="710"/>
      <c r="Q249" s="710"/>
      <c r="R249" s="710"/>
    </row>
    <row r="250" spans="1:18">
      <c r="A250" s="716"/>
      <c r="B250" s="710"/>
      <c r="C250" s="710"/>
      <c r="D250" s="710"/>
      <c r="E250" s="710"/>
      <c r="F250" s="710"/>
      <c r="G250" s="710"/>
      <c r="H250" s="710"/>
      <c r="I250" s="710"/>
      <c r="J250" s="710"/>
      <c r="K250" s="710"/>
      <c r="L250" s="710"/>
      <c r="M250" s="710"/>
      <c r="N250" s="710"/>
      <c r="O250" s="710"/>
      <c r="P250" s="710"/>
      <c r="Q250" s="710"/>
      <c r="R250" s="710"/>
    </row>
    <row r="251" spans="1:18">
      <c r="A251" s="716"/>
      <c r="B251" s="710"/>
      <c r="C251" s="710"/>
      <c r="D251" s="710"/>
      <c r="E251" s="710"/>
      <c r="F251" s="710"/>
      <c r="G251" s="710"/>
      <c r="H251" s="710"/>
      <c r="I251" s="710"/>
      <c r="J251" s="710"/>
      <c r="K251" s="710"/>
      <c r="L251" s="710"/>
      <c r="M251" s="710"/>
      <c r="N251" s="710"/>
      <c r="O251" s="710"/>
      <c r="P251" s="710"/>
      <c r="Q251" s="710"/>
      <c r="R251" s="710"/>
    </row>
    <row r="252" spans="1:18">
      <c r="A252" s="716"/>
      <c r="B252" s="710"/>
      <c r="C252" s="710"/>
      <c r="D252" s="710"/>
      <c r="E252" s="710"/>
      <c r="F252" s="710"/>
      <c r="G252" s="710"/>
      <c r="H252" s="710"/>
      <c r="I252" s="710"/>
      <c r="J252" s="710"/>
      <c r="K252" s="710"/>
      <c r="L252" s="710"/>
      <c r="M252" s="710"/>
      <c r="N252" s="710"/>
      <c r="O252" s="710"/>
      <c r="P252" s="710"/>
      <c r="Q252" s="710"/>
      <c r="R252" s="710"/>
    </row>
    <row r="253" spans="1:18">
      <c r="A253" s="716"/>
      <c r="B253" s="710"/>
      <c r="C253" s="710"/>
      <c r="D253" s="710"/>
      <c r="E253" s="710"/>
      <c r="F253" s="710"/>
      <c r="G253" s="710"/>
      <c r="H253" s="710"/>
      <c r="I253" s="710"/>
      <c r="J253" s="710"/>
      <c r="K253" s="710"/>
      <c r="L253" s="710"/>
      <c r="M253" s="710"/>
      <c r="N253" s="710"/>
      <c r="O253" s="710"/>
      <c r="P253" s="710"/>
      <c r="Q253" s="710"/>
      <c r="R253" s="710"/>
    </row>
    <row r="254" spans="1:18">
      <c r="A254" s="716"/>
      <c r="B254" s="710"/>
      <c r="C254" s="710"/>
      <c r="D254" s="710"/>
      <c r="E254" s="710"/>
      <c r="F254" s="710"/>
      <c r="G254" s="710"/>
      <c r="H254" s="710"/>
      <c r="I254" s="710"/>
      <c r="J254" s="710"/>
      <c r="K254" s="710"/>
      <c r="L254" s="710"/>
      <c r="M254" s="710"/>
      <c r="N254" s="710"/>
      <c r="O254" s="710"/>
      <c r="P254" s="710"/>
      <c r="Q254" s="710"/>
      <c r="R254" s="710"/>
    </row>
    <row r="255" spans="1:18">
      <c r="A255" s="716"/>
      <c r="B255" s="710"/>
      <c r="C255" s="710"/>
      <c r="D255" s="710"/>
      <c r="E255" s="710"/>
      <c r="F255" s="710"/>
      <c r="G255" s="710"/>
      <c r="H255" s="710"/>
      <c r="I255" s="710"/>
      <c r="J255" s="710"/>
      <c r="K255" s="710"/>
      <c r="L255" s="710"/>
      <c r="M255" s="710"/>
      <c r="N255" s="710"/>
      <c r="O255" s="710"/>
      <c r="P255" s="710"/>
      <c r="Q255" s="710"/>
      <c r="R255" s="710"/>
    </row>
    <row r="256" spans="1:18">
      <c r="A256" s="716"/>
      <c r="B256" s="710"/>
      <c r="C256" s="710"/>
      <c r="D256" s="710"/>
      <c r="E256" s="710"/>
      <c r="F256" s="710"/>
      <c r="G256" s="710"/>
      <c r="H256" s="710"/>
      <c r="I256" s="710"/>
      <c r="J256" s="710"/>
      <c r="K256" s="710"/>
      <c r="L256" s="710"/>
      <c r="M256" s="710"/>
      <c r="N256" s="710"/>
      <c r="O256" s="710"/>
      <c r="P256" s="710"/>
      <c r="Q256" s="710"/>
      <c r="R256" s="710"/>
    </row>
    <row r="257" spans="1:18">
      <c r="A257" s="716"/>
      <c r="B257" s="710"/>
      <c r="C257" s="710"/>
      <c r="D257" s="710"/>
      <c r="E257" s="710"/>
      <c r="F257" s="710"/>
      <c r="G257" s="710"/>
      <c r="H257" s="710"/>
      <c r="I257" s="710"/>
      <c r="J257" s="710"/>
      <c r="K257" s="710"/>
      <c r="L257" s="710"/>
      <c r="M257" s="710"/>
      <c r="N257" s="710"/>
      <c r="O257" s="710"/>
      <c r="P257" s="710"/>
      <c r="Q257" s="710"/>
      <c r="R257" s="710"/>
    </row>
    <row r="258" spans="1:18">
      <c r="A258" s="716"/>
      <c r="B258" s="710"/>
      <c r="C258" s="710"/>
      <c r="D258" s="710"/>
      <c r="E258" s="710"/>
      <c r="F258" s="710"/>
      <c r="G258" s="710"/>
      <c r="H258" s="710"/>
      <c r="I258" s="710"/>
      <c r="J258" s="710"/>
      <c r="K258" s="710"/>
      <c r="L258" s="710"/>
      <c r="M258" s="710"/>
      <c r="N258" s="710"/>
      <c r="O258" s="710"/>
      <c r="P258" s="710"/>
      <c r="Q258" s="710"/>
      <c r="R258" s="710"/>
    </row>
    <row r="259" spans="1:18">
      <c r="A259" s="716"/>
      <c r="B259" s="710"/>
      <c r="C259" s="710"/>
      <c r="D259" s="710"/>
      <c r="E259" s="710"/>
      <c r="F259" s="710"/>
      <c r="G259" s="710"/>
      <c r="H259" s="710"/>
      <c r="I259" s="710"/>
      <c r="J259" s="710"/>
      <c r="K259" s="710"/>
      <c r="L259" s="710"/>
      <c r="M259" s="710"/>
      <c r="N259" s="710"/>
      <c r="O259" s="710"/>
      <c r="P259" s="710"/>
      <c r="Q259" s="710"/>
      <c r="R259" s="710"/>
    </row>
    <row r="260" spans="1:18">
      <c r="A260" s="716"/>
      <c r="B260" s="710"/>
      <c r="C260" s="710"/>
      <c r="D260" s="710"/>
      <c r="E260" s="710"/>
      <c r="F260" s="710"/>
      <c r="G260" s="710"/>
      <c r="H260" s="710"/>
      <c r="I260" s="710"/>
      <c r="J260" s="710"/>
      <c r="K260" s="710"/>
      <c r="L260" s="710"/>
      <c r="M260" s="710"/>
      <c r="N260" s="710"/>
      <c r="O260" s="710"/>
      <c r="P260" s="710"/>
      <c r="Q260" s="710"/>
      <c r="R260" s="710"/>
    </row>
    <row r="261" spans="1:18">
      <c r="A261" s="716"/>
      <c r="B261" s="710"/>
      <c r="C261" s="710"/>
      <c r="D261" s="710"/>
      <c r="E261" s="710"/>
      <c r="F261" s="710"/>
      <c r="G261" s="710"/>
      <c r="H261" s="710"/>
      <c r="I261" s="710"/>
      <c r="J261" s="710"/>
      <c r="K261" s="710"/>
      <c r="L261" s="710"/>
      <c r="M261" s="710"/>
      <c r="N261" s="710"/>
      <c r="O261" s="710"/>
      <c r="P261" s="710"/>
      <c r="Q261" s="710"/>
      <c r="R261" s="710"/>
    </row>
    <row r="262" spans="1:18">
      <c r="A262" s="716"/>
      <c r="B262" s="710"/>
      <c r="C262" s="710"/>
      <c r="D262" s="710"/>
      <c r="E262" s="710"/>
      <c r="F262" s="710"/>
      <c r="G262" s="710"/>
      <c r="H262" s="710"/>
      <c r="I262" s="710"/>
      <c r="J262" s="710"/>
      <c r="K262" s="710"/>
      <c r="L262" s="710"/>
      <c r="M262" s="710"/>
      <c r="N262" s="710"/>
      <c r="O262" s="710"/>
      <c r="P262" s="710"/>
      <c r="Q262" s="710"/>
      <c r="R262" s="710"/>
    </row>
    <row r="263" spans="1:18">
      <c r="A263" s="716"/>
      <c r="B263" s="710"/>
      <c r="C263" s="710"/>
      <c r="D263" s="710"/>
      <c r="E263" s="710"/>
      <c r="F263" s="710"/>
      <c r="G263" s="710"/>
      <c r="H263" s="710"/>
      <c r="I263" s="710"/>
      <c r="J263" s="710"/>
      <c r="K263" s="710"/>
      <c r="L263" s="710"/>
      <c r="M263" s="710"/>
      <c r="N263" s="710"/>
      <c r="O263" s="710"/>
      <c r="P263" s="710"/>
      <c r="Q263" s="710"/>
      <c r="R263" s="710"/>
    </row>
    <row r="264" spans="1:18">
      <c r="A264" s="716"/>
      <c r="B264" s="710"/>
      <c r="C264" s="710"/>
      <c r="D264" s="710"/>
      <c r="E264" s="710"/>
      <c r="F264" s="710"/>
      <c r="G264" s="710"/>
      <c r="H264" s="710"/>
      <c r="I264" s="710"/>
      <c r="J264" s="710"/>
      <c r="K264" s="710"/>
      <c r="L264" s="710"/>
      <c r="M264" s="710"/>
      <c r="N264" s="710"/>
      <c r="O264" s="710"/>
      <c r="P264" s="710"/>
      <c r="Q264" s="710"/>
      <c r="R264" s="710"/>
    </row>
    <row r="265" spans="1:18">
      <c r="A265" s="716"/>
      <c r="B265" s="710"/>
      <c r="C265" s="710"/>
      <c r="D265" s="710"/>
      <c r="E265" s="710"/>
      <c r="F265" s="710"/>
      <c r="G265" s="710"/>
      <c r="H265" s="710"/>
      <c r="I265" s="710"/>
      <c r="J265" s="710"/>
      <c r="K265" s="710"/>
      <c r="L265" s="710"/>
      <c r="M265" s="710"/>
      <c r="N265" s="710"/>
      <c r="O265" s="710"/>
      <c r="P265" s="710"/>
      <c r="Q265" s="710"/>
      <c r="R265" s="710"/>
    </row>
    <row r="266" spans="1:18">
      <c r="A266" s="716"/>
      <c r="B266" s="710"/>
      <c r="C266" s="710"/>
      <c r="D266" s="710"/>
      <c r="E266" s="710"/>
      <c r="F266" s="710"/>
      <c r="G266" s="710"/>
      <c r="H266" s="710"/>
      <c r="I266" s="710"/>
      <c r="J266" s="710"/>
      <c r="K266" s="710"/>
      <c r="L266" s="710"/>
      <c r="M266" s="710"/>
      <c r="N266" s="710"/>
      <c r="O266" s="710"/>
      <c r="P266" s="710"/>
      <c r="Q266" s="710"/>
      <c r="R266" s="710"/>
    </row>
    <row r="267" spans="1:18">
      <c r="A267" s="716"/>
      <c r="B267" s="710"/>
      <c r="C267" s="710"/>
      <c r="D267" s="710"/>
      <c r="E267" s="710"/>
      <c r="F267" s="710"/>
      <c r="G267" s="710"/>
      <c r="H267" s="710"/>
      <c r="I267" s="710"/>
      <c r="J267" s="710"/>
      <c r="K267" s="710"/>
      <c r="L267" s="710"/>
      <c r="M267" s="710"/>
      <c r="N267" s="710"/>
      <c r="O267" s="710"/>
      <c r="P267" s="710"/>
      <c r="Q267" s="710"/>
      <c r="R267" s="710"/>
    </row>
    <row r="268" spans="1:18">
      <c r="A268" s="716"/>
      <c r="B268" s="710"/>
      <c r="C268" s="710"/>
      <c r="D268" s="710"/>
      <c r="E268" s="710"/>
      <c r="F268" s="710"/>
      <c r="G268" s="710"/>
      <c r="H268" s="710"/>
      <c r="I268" s="710"/>
      <c r="J268" s="710"/>
      <c r="K268" s="710"/>
      <c r="L268" s="710"/>
      <c r="M268" s="710"/>
      <c r="N268" s="710"/>
      <c r="O268" s="710"/>
      <c r="P268" s="710"/>
      <c r="Q268" s="710"/>
      <c r="R268" s="710"/>
    </row>
    <row r="269" spans="1:18">
      <c r="A269" s="716"/>
      <c r="B269" s="710"/>
      <c r="C269" s="710"/>
      <c r="D269" s="710"/>
      <c r="E269" s="710"/>
      <c r="F269" s="710"/>
      <c r="G269" s="710"/>
      <c r="H269" s="710"/>
      <c r="I269" s="710"/>
      <c r="J269" s="710"/>
      <c r="K269" s="710"/>
      <c r="L269" s="710"/>
      <c r="M269" s="710"/>
      <c r="N269" s="710"/>
      <c r="O269" s="710"/>
      <c r="P269" s="710"/>
      <c r="Q269" s="710"/>
      <c r="R269" s="710"/>
    </row>
    <row r="270" spans="1:18">
      <c r="A270" s="716"/>
      <c r="B270" s="710"/>
      <c r="C270" s="710"/>
      <c r="D270" s="710"/>
      <c r="E270" s="710"/>
      <c r="F270" s="710"/>
      <c r="G270" s="710"/>
      <c r="H270" s="710"/>
      <c r="I270" s="710"/>
      <c r="J270" s="710"/>
      <c r="K270" s="710"/>
      <c r="L270" s="710"/>
      <c r="M270" s="710"/>
      <c r="N270" s="710"/>
      <c r="O270" s="710"/>
      <c r="P270" s="710"/>
      <c r="Q270" s="710"/>
      <c r="R270" s="710"/>
    </row>
    <row r="271" spans="1:18">
      <c r="A271" s="716"/>
      <c r="B271" s="710"/>
      <c r="C271" s="710"/>
      <c r="D271" s="710"/>
      <c r="E271" s="710"/>
      <c r="F271" s="710"/>
      <c r="G271" s="710"/>
      <c r="H271" s="710"/>
      <c r="I271" s="710"/>
      <c r="J271" s="710"/>
      <c r="K271" s="710"/>
      <c r="L271" s="710"/>
      <c r="M271" s="710"/>
      <c r="N271" s="710"/>
      <c r="O271" s="710"/>
      <c r="P271" s="710"/>
      <c r="Q271" s="710"/>
      <c r="R271" s="710"/>
    </row>
    <row r="272" spans="1:18">
      <c r="A272" s="716"/>
      <c r="B272" s="710"/>
      <c r="C272" s="710"/>
      <c r="D272" s="710"/>
      <c r="E272" s="710"/>
      <c r="F272" s="710"/>
      <c r="G272" s="710"/>
      <c r="H272" s="710"/>
      <c r="I272" s="710"/>
      <c r="J272" s="710"/>
      <c r="K272" s="710"/>
      <c r="L272" s="710"/>
      <c r="M272" s="710"/>
      <c r="N272" s="710"/>
      <c r="O272" s="710"/>
      <c r="P272" s="710"/>
      <c r="Q272" s="710"/>
      <c r="R272" s="710"/>
    </row>
    <row r="273" spans="1:18">
      <c r="A273" s="716"/>
      <c r="B273" s="710"/>
      <c r="C273" s="710"/>
      <c r="D273" s="710"/>
      <c r="E273" s="710"/>
      <c r="F273" s="710"/>
      <c r="G273" s="710"/>
      <c r="H273" s="710"/>
      <c r="I273" s="710"/>
      <c r="J273" s="710"/>
      <c r="K273" s="710"/>
      <c r="L273" s="710"/>
      <c r="M273" s="710"/>
      <c r="N273" s="710"/>
      <c r="O273" s="710"/>
      <c r="P273" s="710"/>
      <c r="Q273" s="710"/>
      <c r="R273" s="710"/>
    </row>
    <row r="274" spans="1:18">
      <c r="A274" s="716"/>
      <c r="B274" s="710"/>
      <c r="C274" s="710"/>
      <c r="D274" s="710"/>
      <c r="E274" s="710"/>
      <c r="F274" s="710"/>
      <c r="G274" s="710"/>
      <c r="H274" s="710"/>
      <c r="I274" s="710"/>
      <c r="J274" s="710"/>
      <c r="K274" s="710"/>
      <c r="L274" s="710"/>
      <c r="M274" s="710"/>
      <c r="N274" s="710"/>
      <c r="O274" s="710"/>
      <c r="P274" s="710"/>
      <c r="Q274" s="710"/>
      <c r="R274" s="710"/>
    </row>
    <row r="275" spans="1:18">
      <c r="A275" s="716"/>
      <c r="B275" s="710"/>
      <c r="C275" s="710"/>
      <c r="D275" s="710"/>
      <c r="E275" s="710"/>
      <c r="F275" s="710"/>
      <c r="G275" s="710"/>
      <c r="H275" s="710"/>
      <c r="I275" s="710"/>
      <c r="J275" s="710"/>
      <c r="K275" s="710"/>
      <c r="L275" s="710"/>
      <c r="M275" s="710"/>
      <c r="N275" s="710"/>
      <c r="O275" s="710"/>
      <c r="P275" s="710"/>
      <c r="Q275" s="710"/>
      <c r="R275" s="710"/>
    </row>
    <row r="276" spans="1:18">
      <c r="A276" s="716"/>
      <c r="B276" s="710"/>
      <c r="C276" s="710"/>
      <c r="D276" s="710"/>
      <c r="E276" s="710"/>
      <c r="F276" s="710"/>
      <c r="G276" s="710"/>
      <c r="H276" s="710"/>
      <c r="I276" s="710"/>
      <c r="J276" s="710"/>
      <c r="K276" s="710"/>
      <c r="L276" s="710"/>
      <c r="M276" s="710"/>
      <c r="N276" s="710"/>
      <c r="O276" s="710"/>
      <c r="P276" s="710"/>
      <c r="Q276" s="710"/>
      <c r="R276" s="710"/>
    </row>
    <row r="277" spans="1:18">
      <c r="A277" s="716"/>
      <c r="B277" s="710"/>
      <c r="C277" s="710"/>
      <c r="D277" s="710"/>
      <c r="E277" s="710"/>
      <c r="F277" s="710"/>
      <c r="G277" s="710"/>
      <c r="H277" s="710"/>
      <c r="I277" s="710"/>
      <c r="J277" s="710"/>
      <c r="K277" s="710"/>
      <c r="L277" s="710"/>
      <c r="M277" s="710"/>
      <c r="N277" s="710"/>
      <c r="O277" s="710"/>
      <c r="P277" s="710"/>
      <c r="Q277" s="710"/>
      <c r="R277" s="710"/>
    </row>
    <row r="278" spans="1:18">
      <c r="A278" s="716"/>
      <c r="B278" s="710"/>
      <c r="C278" s="710"/>
      <c r="D278" s="710"/>
      <c r="E278" s="710"/>
      <c r="F278" s="710"/>
      <c r="G278" s="710"/>
      <c r="H278" s="710"/>
      <c r="I278" s="710"/>
      <c r="J278" s="710"/>
      <c r="K278" s="710"/>
      <c r="L278" s="710"/>
      <c r="M278" s="710"/>
      <c r="N278" s="710"/>
      <c r="O278" s="710"/>
      <c r="P278" s="710"/>
      <c r="Q278" s="710"/>
      <c r="R278" s="710"/>
    </row>
    <row r="279" spans="1:18">
      <c r="A279" s="716"/>
      <c r="B279" s="710"/>
      <c r="C279" s="710"/>
      <c r="D279" s="710"/>
      <c r="E279" s="710"/>
      <c r="F279" s="710"/>
      <c r="G279" s="710"/>
      <c r="H279" s="710"/>
      <c r="I279" s="710"/>
      <c r="J279" s="710"/>
      <c r="K279" s="710"/>
      <c r="L279" s="710"/>
      <c r="M279" s="710"/>
      <c r="N279" s="710"/>
      <c r="O279" s="710"/>
      <c r="P279" s="710"/>
      <c r="Q279" s="710"/>
      <c r="R279" s="710"/>
    </row>
    <row r="280" spans="1:18">
      <c r="A280" s="716"/>
      <c r="B280" s="710"/>
      <c r="C280" s="710"/>
      <c r="D280" s="710"/>
      <c r="E280" s="710"/>
      <c r="F280" s="710"/>
      <c r="G280" s="710"/>
      <c r="H280" s="710"/>
      <c r="I280" s="710"/>
      <c r="J280" s="710"/>
      <c r="K280" s="710"/>
      <c r="L280" s="710"/>
      <c r="M280" s="710"/>
      <c r="N280" s="710"/>
      <c r="O280" s="710"/>
      <c r="P280" s="710"/>
      <c r="Q280" s="710"/>
      <c r="R280" s="710"/>
    </row>
    <row r="281" spans="1:18">
      <c r="A281" s="716"/>
      <c r="B281" s="710"/>
      <c r="C281" s="710"/>
      <c r="D281" s="710"/>
      <c r="E281" s="710"/>
      <c r="F281" s="710"/>
      <c r="G281" s="710"/>
      <c r="H281" s="710"/>
      <c r="I281" s="710"/>
      <c r="J281" s="710"/>
      <c r="K281" s="710"/>
      <c r="L281" s="710"/>
      <c r="M281" s="710"/>
      <c r="N281" s="710"/>
      <c r="O281" s="710"/>
      <c r="P281" s="710"/>
      <c r="Q281" s="710"/>
      <c r="R281" s="710"/>
    </row>
    <row r="282" spans="1:18">
      <c r="A282" s="716"/>
      <c r="B282" s="710"/>
      <c r="C282" s="710"/>
      <c r="D282" s="710"/>
      <c r="E282" s="710"/>
      <c r="F282" s="710"/>
      <c r="G282" s="710"/>
      <c r="H282" s="710"/>
      <c r="I282" s="710"/>
      <c r="J282" s="710"/>
      <c r="K282" s="710"/>
      <c r="L282" s="710"/>
      <c r="M282" s="710"/>
      <c r="N282" s="710"/>
      <c r="O282" s="710"/>
      <c r="P282" s="710"/>
      <c r="Q282" s="710"/>
      <c r="R282" s="710"/>
    </row>
    <row r="283" spans="1:18">
      <c r="A283" s="716"/>
      <c r="B283" s="710"/>
      <c r="C283" s="710"/>
      <c r="D283" s="710"/>
      <c r="E283" s="710"/>
      <c r="F283" s="710"/>
      <c r="G283" s="710"/>
      <c r="H283" s="710"/>
      <c r="I283" s="710"/>
      <c r="J283" s="710"/>
      <c r="K283" s="710"/>
      <c r="L283" s="710"/>
      <c r="M283" s="710"/>
      <c r="N283" s="710"/>
      <c r="O283" s="710"/>
      <c r="P283" s="710"/>
      <c r="Q283" s="710"/>
      <c r="R283" s="710"/>
    </row>
    <row r="284" spans="1:18">
      <c r="A284" s="716"/>
      <c r="B284" s="710"/>
      <c r="C284" s="710"/>
      <c r="D284" s="710"/>
      <c r="E284" s="710"/>
      <c r="F284" s="710"/>
      <c r="G284" s="710"/>
      <c r="H284" s="710"/>
      <c r="I284" s="710"/>
      <c r="J284" s="710"/>
      <c r="K284" s="710"/>
      <c r="L284" s="710"/>
      <c r="M284" s="710"/>
      <c r="N284" s="710"/>
      <c r="O284" s="710"/>
      <c r="P284" s="710"/>
      <c r="Q284" s="710"/>
      <c r="R284" s="710"/>
    </row>
    <row r="285" spans="1:18">
      <c r="A285" s="716"/>
      <c r="B285" s="710"/>
      <c r="C285" s="710"/>
      <c r="D285" s="710"/>
      <c r="E285" s="710"/>
      <c r="F285" s="710"/>
      <c r="G285" s="710"/>
      <c r="H285" s="710"/>
      <c r="I285" s="710"/>
      <c r="J285" s="710"/>
      <c r="K285" s="710"/>
      <c r="L285" s="710"/>
      <c r="M285" s="710"/>
      <c r="N285" s="710"/>
      <c r="O285" s="710"/>
      <c r="P285" s="710"/>
      <c r="Q285" s="710"/>
      <c r="R285" s="710"/>
    </row>
    <row r="286" spans="1:18">
      <c r="A286" s="716"/>
      <c r="B286" s="710"/>
      <c r="C286" s="710"/>
      <c r="D286" s="710"/>
      <c r="E286" s="710"/>
      <c r="F286" s="710"/>
      <c r="G286" s="710"/>
      <c r="H286" s="710"/>
      <c r="I286" s="710"/>
      <c r="J286" s="710"/>
      <c r="K286" s="710"/>
      <c r="L286" s="710"/>
      <c r="M286" s="710"/>
      <c r="N286" s="710"/>
      <c r="O286" s="710"/>
      <c r="P286" s="710"/>
      <c r="Q286" s="710"/>
      <c r="R286" s="710"/>
    </row>
    <row r="287" spans="1:18">
      <c r="A287" s="716"/>
      <c r="B287" s="710"/>
      <c r="C287" s="710"/>
      <c r="D287" s="710"/>
      <c r="E287" s="710"/>
      <c r="F287" s="710"/>
      <c r="G287" s="710"/>
      <c r="H287" s="710"/>
      <c r="I287" s="710"/>
      <c r="J287" s="710"/>
      <c r="K287" s="710"/>
      <c r="L287" s="710"/>
      <c r="M287" s="710"/>
      <c r="N287" s="710"/>
      <c r="O287" s="710"/>
      <c r="P287" s="710"/>
      <c r="Q287" s="710"/>
      <c r="R287" s="710"/>
    </row>
    <row r="288" spans="1:18">
      <c r="A288" s="716"/>
      <c r="B288" s="710"/>
      <c r="C288" s="710"/>
      <c r="D288" s="710"/>
      <c r="E288" s="710"/>
      <c r="F288" s="710"/>
      <c r="G288" s="710"/>
      <c r="H288" s="710"/>
      <c r="I288" s="710"/>
      <c r="J288" s="710"/>
      <c r="K288" s="710"/>
      <c r="L288" s="710"/>
      <c r="M288" s="710"/>
      <c r="N288" s="710"/>
      <c r="O288" s="710"/>
      <c r="P288" s="710"/>
      <c r="Q288" s="710"/>
      <c r="R288" s="710"/>
    </row>
    <row r="289" spans="1:18">
      <c r="A289" s="716"/>
      <c r="B289" s="710"/>
      <c r="C289" s="710"/>
      <c r="D289" s="710"/>
      <c r="E289" s="710"/>
      <c r="F289" s="710"/>
      <c r="G289" s="710"/>
      <c r="H289" s="710"/>
      <c r="I289" s="710"/>
      <c r="J289" s="710"/>
      <c r="K289" s="710"/>
      <c r="L289" s="710"/>
      <c r="M289" s="710"/>
      <c r="N289" s="710"/>
      <c r="O289" s="710"/>
      <c r="P289" s="710"/>
      <c r="Q289" s="710"/>
      <c r="R289" s="710"/>
    </row>
    <row r="290" spans="1:18">
      <c r="A290" s="716"/>
      <c r="B290" s="710"/>
      <c r="C290" s="710"/>
      <c r="D290" s="710"/>
      <c r="E290" s="710"/>
      <c r="F290" s="710"/>
      <c r="G290" s="710"/>
      <c r="H290" s="710"/>
      <c r="I290" s="710"/>
      <c r="J290" s="710"/>
      <c r="K290" s="710"/>
      <c r="L290" s="710"/>
      <c r="M290" s="710"/>
      <c r="N290" s="710"/>
      <c r="O290" s="710"/>
      <c r="P290" s="710"/>
      <c r="Q290" s="710"/>
      <c r="R290" s="710"/>
    </row>
    <row r="291" spans="1:18">
      <c r="A291" s="716"/>
      <c r="B291" s="710"/>
      <c r="C291" s="710"/>
      <c r="D291" s="710"/>
      <c r="E291" s="710"/>
      <c r="F291" s="710"/>
      <c r="G291" s="710"/>
      <c r="H291" s="710"/>
      <c r="I291" s="710"/>
      <c r="J291" s="710"/>
      <c r="K291" s="710"/>
      <c r="L291" s="710"/>
      <c r="M291" s="710"/>
      <c r="N291" s="710"/>
      <c r="O291" s="710"/>
      <c r="P291" s="710"/>
      <c r="Q291" s="710"/>
      <c r="R291" s="710"/>
    </row>
    <row r="292" spans="1:18">
      <c r="A292" s="716"/>
      <c r="B292" s="710"/>
      <c r="C292" s="710"/>
      <c r="D292" s="710"/>
      <c r="E292" s="710"/>
      <c r="F292" s="710"/>
      <c r="G292" s="710"/>
      <c r="H292" s="710"/>
      <c r="I292" s="710"/>
      <c r="J292" s="710"/>
      <c r="K292" s="710"/>
      <c r="L292" s="710"/>
      <c r="M292" s="710"/>
      <c r="N292" s="710"/>
      <c r="O292" s="710"/>
      <c r="P292" s="710"/>
      <c r="Q292" s="710"/>
      <c r="R292" s="710"/>
    </row>
    <row r="293" spans="1:18">
      <c r="A293" s="716"/>
      <c r="B293" s="710"/>
      <c r="C293" s="710"/>
      <c r="D293" s="710"/>
      <c r="E293" s="710"/>
      <c r="F293" s="710"/>
      <c r="G293" s="710"/>
      <c r="H293" s="710"/>
      <c r="I293" s="710"/>
      <c r="J293" s="710"/>
      <c r="K293" s="710"/>
      <c r="L293" s="710"/>
      <c r="M293" s="710"/>
      <c r="N293" s="710"/>
      <c r="O293" s="710"/>
      <c r="P293" s="710"/>
      <c r="Q293" s="710"/>
      <c r="R293" s="710"/>
    </row>
    <row r="294" spans="1:18">
      <c r="A294" s="716"/>
      <c r="B294" s="710"/>
      <c r="C294" s="710"/>
      <c r="D294" s="710"/>
      <c r="E294" s="710"/>
      <c r="F294" s="710"/>
      <c r="G294" s="710"/>
      <c r="H294" s="710"/>
      <c r="I294" s="710"/>
      <c r="J294" s="710"/>
      <c r="K294" s="710"/>
      <c r="L294" s="710"/>
      <c r="M294" s="710"/>
      <c r="N294" s="710"/>
      <c r="O294" s="710"/>
      <c r="P294" s="710"/>
      <c r="Q294" s="710"/>
      <c r="R294" s="710"/>
    </row>
    <row r="295" spans="1:18">
      <c r="A295" s="716"/>
      <c r="B295" s="710"/>
      <c r="C295" s="710"/>
      <c r="D295" s="710"/>
      <c r="E295" s="710"/>
      <c r="F295" s="710"/>
      <c r="G295" s="710"/>
      <c r="H295" s="710"/>
      <c r="I295" s="710"/>
      <c r="J295" s="710"/>
      <c r="K295" s="710"/>
      <c r="L295" s="710"/>
      <c r="M295" s="710"/>
      <c r="N295" s="710"/>
      <c r="O295" s="710"/>
      <c r="P295" s="710"/>
      <c r="Q295" s="710"/>
      <c r="R295" s="710"/>
    </row>
    <row r="296" spans="1:18">
      <c r="A296" s="716"/>
      <c r="B296" s="710"/>
      <c r="C296" s="710"/>
      <c r="D296" s="710"/>
      <c r="E296" s="710"/>
      <c r="F296" s="710"/>
      <c r="G296" s="710"/>
      <c r="H296" s="710"/>
      <c r="I296" s="710"/>
      <c r="J296" s="710"/>
      <c r="K296" s="710"/>
      <c r="L296" s="710"/>
      <c r="M296" s="710"/>
      <c r="N296" s="710"/>
      <c r="O296" s="710"/>
      <c r="P296" s="710"/>
      <c r="Q296" s="710"/>
      <c r="R296" s="710"/>
    </row>
    <row r="297" spans="1:18">
      <c r="A297" s="716"/>
      <c r="B297" s="710"/>
      <c r="C297" s="710"/>
      <c r="D297" s="710"/>
      <c r="E297" s="710"/>
      <c r="F297" s="710"/>
      <c r="G297" s="710"/>
      <c r="H297" s="710"/>
      <c r="I297" s="710"/>
      <c r="J297" s="710"/>
      <c r="K297" s="710"/>
      <c r="L297" s="710"/>
      <c r="M297" s="710"/>
      <c r="N297" s="710"/>
      <c r="O297" s="710"/>
      <c r="P297" s="710"/>
      <c r="Q297" s="710"/>
      <c r="R297" s="710"/>
    </row>
    <row r="298" spans="1:18">
      <c r="A298" s="716"/>
      <c r="B298" s="710"/>
      <c r="C298" s="710"/>
      <c r="D298" s="710"/>
      <c r="E298" s="710"/>
      <c r="F298" s="710"/>
      <c r="G298" s="710"/>
      <c r="H298" s="710"/>
      <c r="I298" s="710"/>
      <c r="J298" s="710"/>
      <c r="K298" s="710"/>
      <c r="L298" s="710"/>
      <c r="M298" s="710"/>
      <c r="N298" s="710"/>
      <c r="O298" s="710"/>
      <c r="P298" s="710"/>
      <c r="Q298" s="710"/>
      <c r="R298" s="710"/>
    </row>
    <row r="299" spans="1:18">
      <c r="A299" s="716"/>
      <c r="B299" s="710"/>
      <c r="C299" s="710"/>
      <c r="D299" s="710"/>
      <c r="E299" s="710"/>
      <c r="F299" s="710"/>
      <c r="G299" s="710"/>
      <c r="H299" s="710"/>
      <c r="I299" s="710"/>
      <c r="J299" s="710"/>
      <c r="K299" s="710"/>
      <c r="L299" s="710"/>
      <c r="M299" s="710"/>
      <c r="N299" s="710"/>
      <c r="O299" s="710"/>
      <c r="P299" s="710"/>
      <c r="Q299" s="710"/>
      <c r="R299" s="710"/>
    </row>
    <row r="300" spans="1:18">
      <c r="A300" s="716"/>
      <c r="B300" s="710"/>
      <c r="C300" s="710"/>
      <c r="D300" s="710"/>
      <c r="E300" s="710"/>
      <c r="F300" s="710"/>
      <c r="G300" s="710"/>
      <c r="H300" s="710"/>
      <c r="I300" s="710"/>
      <c r="J300" s="710"/>
      <c r="K300" s="710"/>
      <c r="L300" s="710"/>
      <c r="M300" s="710"/>
      <c r="N300" s="710"/>
      <c r="O300" s="710"/>
      <c r="P300" s="710"/>
      <c r="Q300" s="710"/>
      <c r="R300" s="710"/>
    </row>
    <row r="301" spans="1:18">
      <c r="A301" s="716"/>
      <c r="B301" s="710"/>
      <c r="C301" s="710"/>
      <c r="D301" s="710"/>
      <c r="E301" s="710"/>
      <c r="F301" s="710"/>
      <c r="G301" s="710"/>
      <c r="H301" s="710"/>
      <c r="I301" s="710"/>
      <c r="J301" s="710"/>
      <c r="K301" s="710"/>
      <c r="L301" s="710"/>
      <c r="M301" s="710"/>
      <c r="N301" s="710"/>
      <c r="O301" s="710"/>
      <c r="P301" s="710"/>
      <c r="Q301" s="710"/>
      <c r="R301" s="710"/>
    </row>
    <row r="302" spans="1:18">
      <c r="A302" s="716"/>
      <c r="B302" s="710"/>
      <c r="C302" s="710"/>
      <c r="D302" s="710"/>
      <c r="E302" s="710"/>
      <c r="F302" s="710"/>
      <c r="G302" s="710"/>
      <c r="H302" s="710"/>
      <c r="I302" s="710"/>
      <c r="J302" s="710"/>
      <c r="K302" s="710"/>
      <c r="L302" s="710"/>
      <c r="M302" s="710"/>
      <c r="N302" s="710"/>
      <c r="O302" s="710"/>
      <c r="P302" s="710"/>
      <c r="Q302" s="710"/>
      <c r="R302" s="710"/>
    </row>
    <row r="303" spans="1:18">
      <c r="A303" s="716"/>
      <c r="B303" s="710"/>
      <c r="C303" s="710"/>
      <c r="D303" s="710"/>
      <c r="E303" s="710"/>
      <c r="F303" s="710"/>
      <c r="G303" s="710"/>
      <c r="H303" s="710"/>
      <c r="I303" s="710"/>
      <c r="J303" s="710"/>
      <c r="K303" s="710"/>
      <c r="L303" s="710"/>
      <c r="M303" s="710"/>
      <c r="N303" s="710"/>
      <c r="O303" s="710"/>
      <c r="P303" s="710"/>
      <c r="Q303" s="710"/>
      <c r="R303" s="710"/>
    </row>
    <row r="304" spans="1:18">
      <c r="A304" s="716"/>
      <c r="B304" s="710"/>
      <c r="C304" s="710"/>
      <c r="D304" s="710"/>
      <c r="E304" s="710"/>
      <c r="F304" s="710"/>
      <c r="G304" s="710"/>
      <c r="H304" s="710"/>
      <c r="I304" s="710"/>
      <c r="J304" s="710"/>
      <c r="K304" s="710"/>
      <c r="L304" s="710"/>
      <c r="M304" s="710"/>
      <c r="N304" s="710"/>
      <c r="O304" s="710"/>
      <c r="P304" s="710"/>
      <c r="Q304" s="710"/>
      <c r="R304" s="710"/>
    </row>
    <row r="305" spans="1:18">
      <c r="A305" s="716"/>
      <c r="B305" s="710"/>
      <c r="C305" s="710"/>
      <c r="D305" s="710"/>
      <c r="E305" s="710"/>
      <c r="F305" s="710"/>
      <c r="G305" s="710"/>
      <c r="H305" s="710"/>
      <c r="I305" s="710"/>
      <c r="J305" s="710"/>
      <c r="K305" s="710"/>
      <c r="L305" s="710"/>
      <c r="M305" s="710"/>
      <c r="N305" s="710"/>
      <c r="O305" s="710"/>
      <c r="P305" s="710"/>
      <c r="Q305" s="710"/>
      <c r="R305" s="710"/>
    </row>
    <row r="306" spans="1:18">
      <c r="A306" s="716"/>
      <c r="B306" s="710"/>
      <c r="C306" s="710"/>
      <c r="D306" s="710"/>
      <c r="E306" s="710"/>
      <c r="F306" s="710"/>
      <c r="G306" s="710"/>
      <c r="H306" s="710"/>
      <c r="I306" s="710"/>
      <c r="J306" s="710"/>
      <c r="K306" s="710"/>
      <c r="L306" s="710"/>
      <c r="M306" s="710"/>
      <c r="N306" s="710"/>
      <c r="O306" s="710"/>
      <c r="P306" s="710"/>
      <c r="Q306" s="710"/>
      <c r="R306" s="710"/>
    </row>
    <row r="307" spans="1:18">
      <c r="A307" s="716"/>
      <c r="B307" s="710"/>
      <c r="C307" s="710"/>
      <c r="D307" s="710"/>
      <c r="E307" s="710"/>
      <c r="F307" s="710"/>
      <c r="G307" s="710"/>
      <c r="H307" s="710"/>
      <c r="I307" s="710"/>
      <c r="J307" s="710"/>
      <c r="K307" s="710"/>
      <c r="L307" s="710"/>
      <c r="M307" s="710"/>
      <c r="N307" s="710"/>
      <c r="O307" s="710"/>
      <c r="P307" s="710"/>
      <c r="Q307" s="710"/>
      <c r="R307" s="710"/>
    </row>
    <row r="308" spans="1:18">
      <c r="A308" s="716"/>
      <c r="B308" s="710"/>
      <c r="C308" s="710"/>
      <c r="D308" s="710"/>
      <c r="E308" s="710"/>
      <c r="F308" s="710"/>
      <c r="G308" s="710"/>
      <c r="H308" s="710"/>
      <c r="I308" s="710"/>
      <c r="J308" s="710"/>
      <c r="K308" s="710"/>
      <c r="L308" s="710"/>
      <c r="M308" s="710"/>
      <c r="N308" s="710"/>
      <c r="O308" s="710"/>
      <c r="P308" s="710"/>
      <c r="Q308" s="710"/>
      <c r="R308" s="710"/>
    </row>
    <row r="309" spans="1:18">
      <c r="A309" s="716"/>
      <c r="B309" s="710"/>
      <c r="C309" s="710"/>
      <c r="D309" s="710"/>
      <c r="E309" s="710"/>
      <c r="F309" s="710"/>
      <c r="G309" s="710"/>
      <c r="H309" s="710"/>
      <c r="I309" s="710"/>
      <c r="J309" s="710"/>
      <c r="K309" s="710"/>
      <c r="L309" s="710"/>
      <c r="M309" s="710"/>
      <c r="N309" s="710"/>
      <c r="O309" s="710"/>
      <c r="P309" s="710"/>
      <c r="Q309" s="710"/>
      <c r="R309" s="710"/>
    </row>
    <row r="310" spans="1:18">
      <c r="A310" s="716"/>
      <c r="B310" s="710"/>
      <c r="C310" s="710"/>
      <c r="D310" s="710"/>
      <c r="E310" s="710"/>
      <c r="F310" s="710"/>
      <c r="G310" s="710"/>
      <c r="H310" s="710"/>
      <c r="I310" s="710"/>
      <c r="J310" s="710"/>
      <c r="K310" s="710"/>
      <c r="L310" s="710"/>
      <c r="M310" s="710"/>
      <c r="N310" s="710"/>
      <c r="O310" s="710"/>
      <c r="P310" s="710"/>
      <c r="Q310" s="710"/>
      <c r="R310" s="710"/>
    </row>
    <row r="311" spans="1:18">
      <c r="A311" s="716"/>
      <c r="B311" s="710"/>
      <c r="C311" s="710"/>
      <c r="D311" s="710"/>
      <c r="E311" s="710"/>
      <c r="F311" s="710"/>
      <c r="G311" s="710"/>
      <c r="H311" s="710"/>
      <c r="I311" s="710"/>
      <c r="J311" s="710"/>
      <c r="K311" s="710"/>
      <c r="L311" s="710"/>
      <c r="M311" s="710"/>
      <c r="N311" s="710"/>
      <c r="O311" s="710"/>
      <c r="P311" s="710"/>
      <c r="Q311" s="710"/>
      <c r="R311" s="710"/>
    </row>
    <row r="312" spans="1:18">
      <c r="A312" s="716"/>
      <c r="B312" s="710"/>
      <c r="C312" s="710"/>
      <c r="D312" s="710"/>
      <c r="E312" s="710"/>
      <c r="F312" s="710"/>
      <c r="G312" s="710"/>
      <c r="H312" s="710"/>
      <c r="I312" s="710"/>
      <c r="J312" s="710"/>
      <c r="K312" s="710"/>
      <c r="L312" s="710"/>
      <c r="M312" s="710"/>
      <c r="N312" s="710"/>
      <c r="O312" s="710"/>
      <c r="P312" s="710"/>
      <c r="Q312" s="710"/>
      <c r="R312" s="710"/>
    </row>
    <row r="313" spans="1:18">
      <c r="A313" s="716"/>
      <c r="B313" s="710"/>
      <c r="C313" s="710"/>
      <c r="D313" s="710"/>
      <c r="E313" s="710"/>
      <c r="F313" s="710"/>
      <c r="G313" s="710"/>
      <c r="H313" s="710"/>
      <c r="I313" s="710"/>
      <c r="J313" s="710"/>
      <c r="K313" s="710"/>
      <c r="L313" s="710"/>
      <c r="M313" s="710"/>
      <c r="N313" s="710"/>
      <c r="O313" s="710"/>
      <c r="P313" s="710"/>
      <c r="Q313" s="710"/>
      <c r="R313" s="710"/>
    </row>
    <row r="314" spans="1:18">
      <c r="A314" s="716"/>
      <c r="B314" s="710"/>
      <c r="C314" s="710"/>
      <c r="D314" s="710"/>
      <c r="E314" s="710"/>
      <c r="F314" s="710"/>
      <c r="G314" s="710"/>
      <c r="H314" s="710"/>
      <c r="I314" s="710"/>
      <c r="J314" s="710"/>
      <c r="K314" s="710"/>
      <c r="L314" s="710"/>
      <c r="M314" s="710"/>
      <c r="N314" s="710"/>
      <c r="O314" s="710"/>
      <c r="P314" s="710"/>
      <c r="Q314" s="710"/>
      <c r="R314" s="710"/>
    </row>
    <row r="315" spans="1:18">
      <c r="A315" s="716"/>
      <c r="B315" s="710"/>
      <c r="C315" s="710"/>
      <c r="D315" s="710"/>
      <c r="E315" s="710"/>
      <c r="F315" s="710"/>
      <c r="G315" s="710"/>
      <c r="H315" s="710"/>
      <c r="I315" s="710"/>
      <c r="J315" s="710"/>
      <c r="K315" s="710"/>
      <c r="L315" s="710"/>
      <c r="M315" s="710"/>
      <c r="N315" s="710"/>
      <c r="O315" s="710"/>
      <c r="P315" s="710"/>
      <c r="Q315" s="710"/>
      <c r="R315" s="710"/>
    </row>
    <row r="316" spans="1:18">
      <c r="A316" s="716"/>
      <c r="B316" s="710"/>
      <c r="C316" s="710"/>
      <c r="D316" s="710"/>
      <c r="E316" s="710"/>
      <c r="F316" s="710"/>
      <c r="G316" s="710"/>
      <c r="H316" s="710"/>
      <c r="I316" s="710"/>
      <c r="J316" s="710"/>
      <c r="K316" s="710"/>
      <c r="L316" s="710"/>
      <c r="M316" s="710"/>
      <c r="N316" s="710"/>
      <c r="O316" s="710"/>
      <c r="P316" s="710"/>
      <c r="Q316" s="710"/>
      <c r="R316" s="710"/>
    </row>
    <row r="317" spans="1:18">
      <c r="A317" s="716"/>
      <c r="B317" s="710"/>
      <c r="C317" s="710"/>
      <c r="D317" s="710"/>
      <c r="E317" s="710"/>
      <c r="F317" s="710"/>
      <c r="G317" s="710"/>
      <c r="H317" s="710"/>
      <c r="I317" s="710"/>
      <c r="J317" s="710"/>
      <c r="K317" s="710"/>
      <c r="L317" s="710"/>
      <c r="M317" s="710"/>
      <c r="N317" s="710"/>
      <c r="O317" s="710"/>
      <c r="P317" s="710"/>
      <c r="Q317" s="710"/>
      <c r="R317" s="710"/>
    </row>
    <row r="318" spans="1:18">
      <c r="A318" s="716"/>
      <c r="B318" s="710"/>
      <c r="C318" s="710"/>
      <c r="D318" s="710"/>
      <c r="E318" s="710"/>
      <c r="F318" s="710"/>
      <c r="G318" s="710"/>
      <c r="H318" s="710"/>
      <c r="I318" s="710"/>
      <c r="J318" s="710"/>
      <c r="K318" s="710"/>
      <c r="L318" s="710"/>
      <c r="M318" s="710"/>
      <c r="N318" s="710"/>
      <c r="O318" s="710"/>
      <c r="P318" s="710"/>
      <c r="Q318" s="710"/>
      <c r="R318" s="710"/>
    </row>
    <row r="319" spans="1:18">
      <c r="A319" s="716"/>
      <c r="B319" s="710"/>
      <c r="C319" s="710"/>
      <c r="D319" s="710"/>
      <c r="E319" s="710"/>
      <c r="F319" s="710"/>
      <c r="G319" s="710"/>
      <c r="H319" s="710"/>
      <c r="I319" s="710"/>
      <c r="J319" s="710"/>
      <c r="K319" s="710"/>
      <c r="L319" s="710"/>
      <c r="M319" s="710"/>
      <c r="N319" s="710"/>
      <c r="O319" s="710"/>
      <c r="P319" s="710"/>
      <c r="Q319" s="710"/>
      <c r="R319" s="710"/>
    </row>
    <row r="320" spans="1:18">
      <c r="A320" s="716"/>
      <c r="B320" s="710"/>
      <c r="C320" s="710"/>
      <c r="D320" s="710"/>
      <c r="E320" s="710"/>
      <c r="F320" s="710"/>
      <c r="G320" s="710"/>
      <c r="H320" s="710"/>
      <c r="I320" s="710"/>
      <c r="J320" s="710"/>
      <c r="K320" s="710"/>
      <c r="L320" s="710"/>
      <c r="M320" s="710"/>
      <c r="N320" s="710"/>
      <c r="O320" s="710"/>
      <c r="P320" s="710"/>
      <c r="Q320" s="710"/>
      <c r="R320" s="710"/>
    </row>
    <row r="321" spans="1:18">
      <c r="A321" s="716"/>
      <c r="B321" s="710"/>
      <c r="C321" s="710"/>
      <c r="D321" s="710"/>
      <c r="E321" s="710"/>
      <c r="F321" s="710"/>
      <c r="G321" s="710"/>
      <c r="H321" s="710"/>
      <c r="I321" s="710"/>
      <c r="J321" s="710"/>
      <c r="K321" s="710"/>
      <c r="L321" s="710"/>
      <c r="M321" s="710"/>
      <c r="N321" s="710"/>
      <c r="O321" s="710"/>
      <c r="P321" s="710"/>
      <c r="Q321" s="710"/>
      <c r="R321" s="710"/>
    </row>
    <row r="322" spans="1:18">
      <c r="A322" s="716"/>
      <c r="B322" s="710"/>
      <c r="C322" s="710"/>
      <c r="D322" s="710"/>
      <c r="E322" s="710"/>
      <c r="F322" s="710"/>
      <c r="G322" s="710"/>
      <c r="H322" s="710"/>
      <c r="I322" s="710"/>
      <c r="J322" s="710"/>
      <c r="K322" s="710"/>
      <c r="L322" s="710"/>
      <c r="M322" s="710"/>
      <c r="N322" s="710"/>
      <c r="O322" s="710"/>
      <c r="P322" s="710"/>
      <c r="Q322" s="710"/>
      <c r="R322" s="710"/>
    </row>
    <row r="323" spans="1:18">
      <c r="A323" s="716"/>
      <c r="B323" s="710"/>
      <c r="C323" s="710"/>
      <c r="D323" s="710"/>
      <c r="E323" s="710"/>
      <c r="F323" s="710"/>
      <c r="G323" s="710"/>
      <c r="H323" s="710"/>
      <c r="I323" s="710"/>
      <c r="J323" s="710"/>
      <c r="K323" s="710"/>
      <c r="L323" s="710"/>
      <c r="M323" s="710"/>
      <c r="N323" s="710"/>
      <c r="O323" s="710"/>
      <c r="P323" s="710"/>
      <c r="Q323" s="710"/>
      <c r="R323" s="710"/>
    </row>
    <row r="324" spans="1:18">
      <c r="A324" s="716"/>
      <c r="B324" s="710"/>
      <c r="C324" s="710"/>
      <c r="D324" s="710"/>
      <c r="E324" s="710"/>
      <c r="F324" s="710"/>
      <c r="G324" s="710"/>
      <c r="H324" s="710"/>
      <c r="I324" s="710"/>
      <c r="J324" s="710"/>
      <c r="K324" s="710"/>
      <c r="L324" s="710"/>
      <c r="M324" s="710"/>
      <c r="N324" s="710"/>
      <c r="O324" s="710"/>
      <c r="P324" s="710"/>
      <c r="Q324" s="710"/>
      <c r="R324" s="710"/>
    </row>
    <row r="325" spans="1:18">
      <c r="A325" s="716"/>
      <c r="B325" s="710"/>
      <c r="C325" s="710"/>
      <c r="D325" s="710"/>
      <c r="E325" s="710"/>
      <c r="F325" s="710"/>
      <c r="G325" s="710"/>
      <c r="H325" s="710"/>
      <c r="I325" s="710"/>
      <c r="J325" s="710"/>
      <c r="K325" s="710"/>
      <c r="L325" s="710"/>
      <c r="M325" s="710"/>
      <c r="N325" s="710"/>
      <c r="O325" s="710"/>
      <c r="P325" s="710"/>
      <c r="Q325" s="710"/>
      <c r="R325" s="710"/>
    </row>
    <row r="326" spans="1:18">
      <c r="A326" s="716"/>
      <c r="B326" s="710"/>
      <c r="C326" s="710"/>
      <c r="D326" s="710"/>
      <c r="E326" s="710"/>
      <c r="F326" s="710"/>
      <c r="G326" s="710"/>
      <c r="H326" s="710"/>
      <c r="I326" s="710"/>
      <c r="J326" s="710"/>
      <c r="K326" s="710"/>
      <c r="L326" s="710"/>
      <c r="M326" s="710"/>
      <c r="N326" s="710"/>
      <c r="O326" s="710"/>
      <c r="P326" s="710"/>
      <c r="Q326" s="710"/>
      <c r="R326" s="710"/>
    </row>
    <row r="327" spans="1:18">
      <c r="A327" s="716"/>
      <c r="B327" s="710"/>
      <c r="C327" s="710"/>
      <c r="D327" s="710"/>
      <c r="E327" s="710"/>
      <c r="F327" s="710"/>
      <c r="G327" s="710"/>
      <c r="H327" s="710"/>
      <c r="I327" s="710"/>
      <c r="J327" s="710"/>
      <c r="K327" s="710"/>
      <c r="L327" s="710"/>
      <c r="M327" s="710"/>
      <c r="N327" s="710"/>
      <c r="O327" s="710"/>
      <c r="P327" s="710"/>
      <c r="Q327" s="710"/>
      <c r="R327" s="710"/>
    </row>
    <row r="328" spans="1:18">
      <c r="A328" s="716"/>
      <c r="B328" s="710"/>
      <c r="C328" s="710"/>
      <c r="D328" s="710"/>
      <c r="E328" s="710"/>
      <c r="F328" s="710"/>
      <c r="G328" s="710"/>
      <c r="H328" s="710"/>
      <c r="I328" s="710"/>
      <c r="J328" s="710"/>
      <c r="K328" s="710"/>
      <c r="L328" s="710"/>
      <c r="M328" s="710"/>
      <c r="N328" s="710"/>
      <c r="O328" s="710"/>
      <c r="P328" s="710"/>
      <c r="Q328" s="710"/>
      <c r="R328" s="710"/>
    </row>
    <row r="329" spans="1:18">
      <c r="A329" s="716"/>
      <c r="B329" s="710"/>
      <c r="C329" s="710"/>
      <c r="D329" s="710"/>
      <c r="E329" s="710"/>
      <c r="F329" s="710"/>
      <c r="G329" s="710"/>
      <c r="H329" s="710"/>
      <c r="I329" s="710"/>
      <c r="J329" s="710"/>
      <c r="K329" s="710"/>
      <c r="L329" s="710"/>
      <c r="M329" s="710"/>
      <c r="N329" s="710"/>
      <c r="O329" s="710"/>
      <c r="P329" s="710"/>
      <c r="Q329" s="710"/>
      <c r="R329" s="710"/>
    </row>
    <row r="330" spans="1:18">
      <c r="A330" s="716"/>
      <c r="B330" s="710"/>
      <c r="C330" s="710"/>
      <c r="D330" s="710"/>
      <c r="E330" s="710"/>
      <c r="F330" s="710"/>
      <c r="G330" s="710"/>
      <c r="H330" s="710"/>
      <c r="I330" s="710"/>
      <c r="J330" s="710"/>
      <c r="K330" s="710"/>
      <c r="L330" s="710"/>
      <c r="M330" s="710"/>
      <c r="N330" s="710"/>
      <c r="O330" s="710"/>
      <c r="P330" s="710"/>
      <c r="Q330" s="710"/>
      <c r="R330" s="710"/>
    </row>
    <row r="331" spans="1:18">
      <c r="A331" s="716"/>
      <c r="B331" s="710"/>
      <c r="C331" s="710"/>
      <c r="D331" s="710"/>
      <c r="E331" s="710"/>
      <c r="F331" s="710"/>
      <c r="G331" s="710"/>
      <c r="H331" s="710"/>
      <c r="I331" s="710"/>
      <c r="J331" s="710"/>
      <c r="K331" s="710"/>
      <c r="L331" s="710"/>
      <c r="M331" s="710"/>
      <c r="N331" s="710"/>
      <c r="O331" s="710"/>
      <c r="P331" s="710"/>
      <c r="Q331" s="710"/>
      <c r="R331" s="710"/>
    </row>
    <row r="332" spans="1:18">
      <c r="A332" s="716"/>
      <c r="B332" s="710"/>
      <c r="C332" s="710"/>
      <c r="D332" s="710"/>
      <c r="E332" s="710"/>
      <c r="F332" s="710"/>
      <c r="G332" s="710"/>
      <c r="H332" s="710"/>
      <c r="I332" s="710"/>
      <c r="J332" s="710"/>
      <c r="K332" s="710"/>
      <c r="L332" s="710"/>
      <c r="M332" s="710"/>
      <c r="N332" s="710"/>
      <c r="O332" s="710"/>
      <c r="P332" s="710"/>
      <c r="Q332" s="710"/>
      <c r="R332" s="710"/>
    </row>
    <row r="333" spans="1:18">
      <c r="A333" s="716"/>
      <c r="B333" s="710"/>
      <c r="C333" s="710"/>
      <c r="D333" s="710"/>
      <c r="E333" s="710"/>
      <c r="F333" s="710"/>
      <c r="G333" s="710"/>
      <c r="H333" s="710"/>
      <c r="I333" s="710"/>
      <c r="J333" s="710"/>
      <c r="K333" s="710"/>
      <c r="L333" s="710"/>
      <c r="M333" s="710"/>
      <c r="N333" s="710"/>
      <c r="O333" s="710"/>
      <c r="P333" s="710"/>
      <c r="Q333" s="710"/>
      <c r="R333" s="710"/>
    </row>
    <row r="334" spans="1:18">
      <c r="A334" s="716"/>
      <c r="B334" s="710"/>
      <c r="C334" s="710"/>
      <c r="D334" s="710"/>
      <c r="E334" s="710"/>
      <c r="F334" s="710"/>
      <c r="G334" s="710"/>
      <c r="H334" s="710"/>
      <c r="I334" s="710"/>
      <c r="J334" s="710"/>
      <c r="K334" s="710"/>
      <c r="L334" s="710"/>
      <c r="M334" s="710"/>
      <c r="N334" s="710"/>
      <c r="O334" s="710"/>
      <c r="P334" s="710"/>
      <c r="Q334" s="710"/>
      <c r="R334" s="710"/>
    </row>
    <row r="335" spans="1:18">
      <c r="A335" s="716"/>
      <c r="B335" s="710"/>
      <c r="C335" s="710"/>
      <c r="D335" s="710"/>
      <c r="E335" s="710"/>
      <c r="F335" s="710"/>
      <c r="G335" s="710"/>
      <c r="H335" s="710"/>
      <c r="I335" s="710"/>
      <c r="J335" s="710"/>
      <c r="K335" s="710"/>
      <c r="L335" s="710"/>
      <c r="M335" s="710"/>
      <c r="N335" s="710"/>
      <c r="O335" s="710"/>
      <c r="P335" s="710"/>
      <c r="Q335" s="710"/>
      <c r="R335" s="710"/>
    </row>
    <row r="336" spans="1:18">
      <c r="A336" s="716"/>
      <c r="B336" s="710"/>
      <c r="C336" s="710"/>
      <c r="D336" s="710"/>
      <c r="E336" s="710"/>
      <c r="F336" s="710"/>
      <c r="G336" s="710"/>
      <c r="H336" s="710"/>
      <c r="I336" s="710"/>
      <c r="J336" s="710"/>
      <c r="K336" s="710"/>
      <c r="L336" s="710"/>
      <c r="M336" s="710"/>
      <c r="N336" s="710"/>
      <c r="O336" s="710"/>
      <c r="P336" s="710"/>
      <c r="Q336" s="710"/>
      <c r="R336" s="710"/>
    </row>
    <row r="337" spans="1:18">
      <c r="A337" s="716"/>
      <c r="B337" s="710"/>
      <c r="C337" s="710"/>
      <c r="D337" s="710"/>
      <c r="E337" s="710"/>
      <c r="F337" s="710"/>
      <c r="G337" s="710"/>
      <c r="H337" s="710"/>
      <c r="I337" s="710"/>
      <c r="J337" s="710"/>
      <c r="K337" s="710"/>
      <c r="L337" s="710"/>
      <c r="M337" s="710"/>
      <c r="N337" s="710"/>
      <c r="O337" s="710"/>
      <c r="P337" s="710"/>
      <c r="Q337" s="710"/>
      <c r="R337" s="710"/>
    </row>
    <row r="338" spans="1:18">
      <c r="A338" s="716"/>
      <c r="B338" s="710"/>
      <c r="C338" s="710"/>
      <c r="D338" s="710"/>
      <c r="E338" s="710"/>
      <c r="F338" s="710"/>
      <c r="G338" s="710"/>
      <c r="H338" s="710"/>
      <c r="I338" s="710"/>
      <c r="J338" s="710"/>
      <c r="K338" s="710"/>
      <c r="L338" s="710"/>
      <c r="M338" s="710"/>
      <c r="N338" s="710"/>
      <c r="O338" s="710"/>
      <c r="P338" s="710"/>
      <c r="Q338" s="710"/>
      <c r="R338" s="710"/>
    </row>
    <row r="339" spans="1:18">
      <c r="A339" s="716"/>
      <c r="B339" s="710"/>
      <c r="C339" s="710"/>
      <c r="D339" s="710"/>
      <c r="E339" s="710"/>
      <c r="F339" s="710"/>
      <c r="G339" s="710"/>
      <c r="H339" s="710"/>
      <c r="I339" s="710"/>
      <c r="J339" s="710"/>
      <c r="K339" s="710"/>
      <c r="L339" s="710"/>
      <c r="M339" s="710"/>
      <c r="N339" s="710"/>
      <c r="O339" s="710"/>
      <c r="P339" s="710"/>
      <c r="Q339" s="710"/>
      <c r="R339" s="710"/>
    </row>
    <row r="340" spans="1:18">
      <c r="A340" s="716"/>
      <c r="B340" s="710"/>
      <c r="C340" s="710"/>
      <c r="D340" s="710"/>
      <c r="E340" s="710"/>
      <c r="F340" s="710"/>
      <c r="G340" s="710"/>
      <c r="H340" s="710"/>
      <c r="I340" s="710"/>
      <c r="J340" s="710"/>
      <c r="K340" s="710"/>
      <c r="L340" s="710"/>
      <c r="M340" s="710"/>
      <c r="N340" s="710"/>
      <c r="O340" s="710"/>
      <c r="P340" s="710"/>
      <c r="Q340" s="710"/>
      <c r="R340" s="710"/>
    </row>
    <row r="341" spans="1:18">
      <c r="A341" s="716"/>
      <c r="B341" s="710"/>
      <c r="C341" s="710"/>
      <c r="D341" s="710"/>
      <c r="E341" s="710"/>
      <c r="F341" s="710"/>
      <c r="G341" s="710"/>
      <c r="H341" s="710"/>
      <c r="I341" s="710"/>
      <c r="J341" s="710"/>
      <c r="K341" s="710"/>
      <c r="L341" s="710"/>
      <c r="M341" s="710"/>
      <c r="N341" s="710"/>
      <c r="O341" s="710"/>
      <c r="P341" s="710"/>
      <c r="Q341" s="710"/>
      <c r="R341" s="710"/>
    </row>
    <row r="342" spans="1:18">
      <c r="A342" s="716"/>
      <c r="B342" s="710"/>
      <c r="C342" s="710"/>
      <c r="D342" s="710"/>
      <c r="E342" s="710"/>
      <c r="F342" s="710"/>
      <c r="G342" s="710"/>
      <c r="H342" s="710"/>
      <c r="I342" s="710"/>
      <c r="J342" s="710"/>
      <c r="K342" s="710"/>
      <c r="L342" s="710"/>
      <c r="M342" s="710"/>
      <c r="N342" s="710"/>
      <c r="O342" s="710"/>
      <c r="P342" s="710"/>
      <c r="Q342" s="710"/>
      <c r="R342" s="710"/>
    </row>
    <row r="343" spans="1:18">
      <c r="A343" s="716"/>
      <c r="B343" s="710"/>
      <c r="C343" s="710"/>
      <c r="D343" s="710"/>
      <c r="E343" s="710"/>
      <c r="F343" s="710"/>
      <c r="G343" s="710"/>
      <c r="H343" s="710"/>
      <c r="I343" s="710"/>
      <c r="J343" s="710"/>
      <c r="K343" s="710"/>
      <c r="L343" s="710"/>
      <c r="M343" s="710"/>
      <c r="N343" s="710"/>
      <c r="O343" s="710"/>
      <c r="P343" s="710"/>
      <c r="Q343" s="710"/>
      <c r="R343" s="710"/>
    </row>
    <row r="344" spans="1:18">
      <c r="A344" s="716"/>
      <c r="B344" s="710"/>
      <c r="C344" s="710"/>
      <c r="D344" s="710"/>
      <c r="E344" s="710"/>
      <c r="F344" s="710"/>
      <c r="G344" s="710"/>
      <c r="H344" s="710"/>
      <c r="I344" s="710"/>
      <c r="J344" s="710"/>
      <c r="K344" s="710"/>
      <c r="L344" s="710"/>
      <c r="M344" s="710"/>
      <c r="N344" s="710"/>
      <c r="O344" s="710"/>
      <c r="P344" s="710"/>
      <c r="Q344" s="710"/>
      <c r="R344" s="710"/>
    </row>
    <row r="345" spans="1:18">
      <c r="A345" s="716"/>
      <c r="B345" s="710"/>
      <c r="C345" s="710"/>
      <c r="D345" s="710"/>
      <c r="E345" s="710"/>
      <c r="F345" s="710"/>
      <c r="G345" s="710"/>
      <c r="H345" s="710"/>
      <c r="I345" s="710"/>
      <c r="J345" s="710"/>
      <c r="K345" s="710"/>
      <c r="L345" s="710"/>
      <c r="M345" s="710"/>
      <c r="N345" s="710"/>
      <c r="O345" s="710"/>
      <c r="P345" s="710"/>
      <c r="Q345" s="710"/>
      <c r="R345" s="710"/>
    </row>
    <row r="346" spans="1:18">
      <c r="A346" s="716"/>
      <c r="B346" s="710"/>
      <c r="C346" s="710"/>
      <c r="D346" s="710"/>
      <c r="E346" s="710"/>
      <c r="F346" s="710"/>
      <c r="G346" s="710"/>
      <c r="H346" s="710"/>
      <c r="I346" s="710"/>
      <c r="J346" s="710"/>
      <c r="K346" s="710"/>
      <c r="L346" s="710"/>
      <c r="M346" s="710"/>
      <c r="N346" s="710"/>
      <c r="O346" s="710"/>
      <c r="P346" s="710"/>
      <c r="Q346" s="710"/>
      <c r="R346" s="710"/>
    </row>
    <row r="347" spans="1:18">
      <c r="A347" s="716"/>
      <c r="B347" s="710"/>
      <c r="C347" s="710"/>
      <c r="D347" s="710"/>
      <c r="E347" s="710"/>
      <c r="F347" s="710"/>
      <c r="G347" s="710"/>
      <c r="H347" s="710"/>
      <c r="I347" s="710"/>
      <c r="J347" s="710"/>
      <c r="K347" s="710"/>
      <c r="L347" s="710"/>
      <c r="M347" s="710"/>
      <c r="N347" s="710"/>
      <c r="O347" s="710"/>
      <c r="P347" s="710"/>
      <c r="Q347" s="710"/>
      <c r="R347" s="710"/>
    </row>
    <row r="348" spans="1:18">
      <c r="A348" s="716"/>
      <c r="B348" s="710"/>
      <c r="C348" s="710"/>
      <c r="D348" s="710"/>
      <c r="E348" s="710"/>
      <c r="F348" s="710"/>
      <c r="G348" s="710"/>
      <c r="H348" s="710"/>
      <c r="I348" s="710"/>
      <c r="J348" s="710"/>
      <c r="K348" s="710"/>
      <c r="L348" s="710"/>
      <c r="M348" s="710"/>
      <c r="N348" s="710"/>
      <c r="O348" s="710"/>
      <c r="P348" s="710"/>
      <c r="Q348" s="710"/>
      <c r="R348" s="710"/>
    </row>
    <row r="349" spans="1:18">
      <c r="A349" s="716"/>
      <c r="B349" s="710"/>
      <c r="C349" s="710"/>
      <c r="D349" s="710"/>
      <c r="E349" s="710"/>
      <c r="F349" s="710"/>
      <c r="G349" s="710"/>
      <c r="H349" s="710"/>
      <c r="I349" s="710"/>
      <c r="J349" s="710"/>
      <c r="K349" s="710"/>
      <c r="L349" s="710"/>
      <c r="M349" s="710"/>
      <c r="N349" s="710"/>
      <c r="O349" s="710"/>
      <c r="P349" s="710"/>
      <c r="Q349" s="710"/>
      <c r="R349" s="710"/>
    </row>
    <row r="350" spans="1:18">
      <c r="A350" s="716"/>
      <c r="B350" s="710"/>
      <c r="C350" s="710"/>
      <c r="D350" s="710"/>
      <c r="E350" s="710"/>
      <c r="F350" s="710"/>
      <c r="G350" s="710"/>
      <c r="H350" s="710"/>
      <c r="I350" s="710"/>
      <c r="J350" s="710"/>
      <c r="K350" s="710"/>
      <c r="L350" s="710"/>
      <c r="M350" s="710"/>
      <c r="N350" s="710"/>
      <c r="O350" s="710"/>
      <c r="P350" s="710"/>
      <c r="Q350" s="710"/>
      <c r="R350" s="710"/>
    </row>
    <row r="351" spans="1:18">
      <c r="A351" s="716"/>
      <c r="B351" s="710"/>
      <c r="C351" s="710"/>
      <c r="D351" s="710"/>
      <c r="E351" s="710"/>
      <c r="F351" s="710"/>
      <c r="G351" s="710"/>
      <c r="H351" s="710"/>
      <c r="I351" s="710"/>
      <c r="J351" s="710"/>
      <c r="K351" s="710"/>
      <c r="L351" s="710"/>
      <c r="M351" s="710"/>
      <c r="N351" s="710"/>
      <c r="O351" s="710"/>
      <c r="P351" s="710"/>
      <c r="Q351" s="710"/>
      <c r="R351" s="710"/>
    </row>
    <row r="352" spans="1:18">
      <c r="A352" s="716"/>
      <c r="B352" s="710"/>
      <c r="C352" s="710"/>
      <c r="D352" s="710"/>
      <c r="E352" s="710"/>
      <c r="F352" s="710"/>
      <c r="G352" s="710"/>
      <c r="H352" s="710"/>
      <c r="I352" s="710"/>
      <c r="J352" s="710"/>
      <c r="K352" s="710"/>
      <c r="L352" s="710"/>
      <c r="M352" s="710"/>
      <c r="N352" s="710"/>
      <c r="O352" s="710"/>
      <c r="P352" s="710"/>
      <c r="Q352" s="710"/>
      <c r="R352" s="710"/>
    </row>
    <row r="353" spans="1:18">
      <c r="A353" s="716"/>
      <c r="B353" s="710"/>
      <c r="C353" s="710"/>
      <c r="D353" s="710"/>
      <c r="E353" s="710"/>
      <c r="F353" s="710"/>
      <c r="G353" s="710"/>
      <c r="H353" s="710"/>
      <c r="I353" s="710"/>
      <c r="J353" s="710"/>
      <c r="K353" s="710"/>
      <c r="L353" s="710"/>
      <c r="M353" s="710"/>
      <c r="N353" s="710"/>
      <c r="O353" s="710"/>
      <c r="P353" s="710"/>
      <c r="Q353" s="710"/>
      <c r="R353" s="710"/>
    </row>
    <row r="354" spans="1:18">
      <c r="A354" s="716"/>
      <c r="B354" s="710"/>
      <c r="C354" s="710"/>
      <c r="D354" s="710"/>
      <c r="E354" s="710"/>
      <c r="F354" s="710"/>
      <c r="G354" s="710"/>
      <c r="H354" s="710"/>
      <c r="I354" s="710"/>
      <c r="J354" s="710"/>
      <c r="K354" s="710"/>
      <c r="L354" s="710"/>
      <c r="M354" s="710"/>
      <c r="N354" s="710"/>
      <c r="O354" s="710"/>
      <c r="P354" s="710"/>
      <c r="Q354" s="710"/>
      <c r="R354" s="710"/>
    </row>
    <row r="355" spans="1:18">
      <c r="A355" s="716"/>
      <c r="B355" s="710"/>
      <c r="C355" s="710"/>
      <c r="D355" s="710"/>
      <c r="E355" s="710"/>
      <c r="F355" s="710"/>
      <c r="G355" s="710"/>
      <c r="H355" s="710"/>
      <c r="I355" s="710"/>
      <c r="J355" s="710"/>
      <c r="K355" s="710"/>
      <c r="L355" s="710"/>
      <c r="M355" s="710"/>
      <c r="N355" s="710"/>
      <c r="O355" s="710"/>
      <c r="P355" s="710"/>
      <c r="Q355" s="710"/>
      <c r="R355" s="710"/>
    </row>
    <row r="356" spans="1:18">
      <c r="A356" s="716"/>
      <c r="B356" s="710"/>
      <c r="C356" s="710"/>
      <c r="D356" s="710"/>
      <c r="E356" s="710"/>
      <c r="F356" s="710"/>
      <c r="G356" s="710"/>
      <c r="H356" s="710"/>
      <c r="I356" s="710"/>
      <c r="J356" s="710"/>
      <c r="K356" s="710"/>
      <c r="L356" s="710"/>
      <c r="M356" s="710"/>
      <c r="N356" s="710"/>
      <c r="O356" s="710"/>
      <c r="P356" s="710"/>
      <c r="Q356" s="710"/>
      <c r="R356" s="710"/>
    </row>
    <row r="357" spans="1:18">
      <c r="A357" s="716"/>
      <c r="B357" s="710"/>
      <c r="C357" s="710"/>
      <c r="D357" s="710"/>
      <c r="E357" s="710"/>
      <c r="F357" s="710"/>
      <c r="G357" s="710"/>
      <c r="H357" s="710"/>
      <c r="I357" s="710"/>
      <c r="J357" s="710"/>
      <c r="K357" s="710"/>
      <c r="L357" s="710"/>
      <c r="M357" s="710"/>
      <c r="N357" s="710"/>
      <c r="O357" s="710"/>
      <c r="P357" s="710"/>
      <c r="Q357" s="710"/>
      <c r="R357" s="710"/>
    </row>
    <row r="358" spans="1:18">
      <c r="A358" s="716"/>
      <c r="B358" s="710"/>
      <c r="C358" s="710"/>
      <c r="D358" s="710"/>
      <c r="E358" s="710"/>
      <c r="F358" s="710"/>
      <c r="G358" s="710"/>
      <c r="H358" s="710"/>
      <c r="I358" s="710"/>
      <c r="J358" s="710"/>
      <c r="K358" s="710"/>
      <c r="L358" s="710"/>
      <c r="M358" s="710"/>
      <c r="N358" s="710"/>
      <c r="O358" s="710"/>
      <c r="P358" s="710"/>
      <c r="Q358" s="710"/>
      <c r="R358" s="710"/>
    </row>
    <row r="359" spans="1:18">
      <c r="A359" s="716"/>
      <c r="B359" s="710"/>
      <c r="C359" s="710"/>
      <c r="D359" s="710"/>
      <c r="E359" s="710"/>
      <c r="F359" s="710"/>
      <c r="G359" s="710"/>
      <c r="H359" s="710"/>
      <c r="I359" s="710"/>
      <c r="J359" s="710"/>
      <c r="K359" s="710"/>
      <c r="L359" s="710"/>
      <c r="M359" s="710"/>
      <c r="N359" s="710"/>
      <c r="O359" s="710"/>
      <c r="P359" s="710"/>
      <c r="Q359" s="710"/>
      <c r="R359" s="710"/>
    </row>
    <row r="360" spans="1:18">
      <c r="A360" s="716"/>
      <c r="B360" s="710"/>
      <c r="C360" s="710"/>
      <c r="D360" s="710"/>
      <c r="E360" s="710"/>
      <c r="F360" s="710"/>
      <c r="G360" s="710"/>
      <c r="H360" s="710"/>
      <c r="I360" s="710"/>
      <c r="J360" s="710"/>
      <c r="K360" s="710"/>
      <c r="L360" s="710"/>
      <c r="M360" s="710"/>
      <c r="N360" s="710"/>
      <c r="O360" s="710"/>
      <c r="P360" s="710"/>
      <c r="Q360" s="710"/>
      <c r="R360" s="710"/>
    </row>
    <row r="361" spans="1:18">
      <c r="A361" s="716"/>
      <c r="B361" s="710"/>
      <c r="C361" s="710"/>
      <c r="D361" s="710"/>
      <c r="E361" s="710"/>
      <c r="F361" s="710"/>
      <c r="G361" s="710"/>
      <c r="H361" s="710"/>
      <c r="I361" s="710"/>
      <c r="J361" s="710"/>
      <c r="K361" s="710"/>
      <c r="L361" s="710"/>
      <c r="M361" s="710"/>
      <c r="N361" s="710"/>
      <c r="O361" s="710"/>
      <c r="P361" s="710"/>
      <c r="Q361" s="710"/>
      <c r="R361" s="710"/>
    </row>
    <row r="362" spans="1:18">
      <c r="A362" s="716"/>
      <c r="B362" s="710"/>
      <c r="C362" s="710"/>
      <c r="D362" s="710"/>
      <c r="E362" s="710"/>
      <c r="F362" s="710"/>
      <c r="G362" s="710"/>
      <c r="H362" s="710"/>
      <c r="I362" s="710"/>
      <c r="J362" s="710"/>
      <c r="K362" s="710"/>
      <c r="L362" s="710"/>
      <c r="M362" s="710"/>
      <c r="N362" s="710"/>
      <c r="O362" s="710"/>
      <c r="P362" s="710"/>
      <c r="Q362" s="710"/>
      <c r="R362" s="710"/>
    </row>
    <row r="363" spans="1:18">
      <c r="A363" s="716"/>
      <c r="B363" s="710"/>
      <c r="C363" s="710"/>
      <c r="D363" s="710"/>
      <c r="E363" s="710"/>
      <c r="F363" s="710"/>
      <c r="G363" s="710"/>
      <c r="H363" s="710"/>
      <c r="I363" s="710"/>
      <c r="J363" s="710"/>
      <c r="K363" s="710"/>
      <c r="L363" s="710"/>
      <c r="M363" s="710"/>
      <c r="N363" s="710"/>
      <c r="O363" s="710"/>
      <c r="P363" s="710"/>
      <c r="Q363" s="710"/>
      <c r="R363" s="710"/>
    </row>
    <row r="364" spans="1:18">
      <c r="A364" s="716"/>
      <c r="B364" s="710"/>
      <c r="C364" s="710"/>
      <c r="D364" s="710"/>
      <c r="E364" s="710"/>
      <c r="F364" s="710"/>
      <c r="G364" s="710"/>
      <c r="H364" s="710"/>
      <c r="I364" s="710"/>
      <c r="J364" s="710"/>
      <c r="K364" s="710"/>
      <c r="L364" s="710"/>
      <c r="M364" s="710"/>
      <c r="N364" s="710"/>
      <c r="O364" s="710"/>
      <c r="P364" s="710"/>
      <c r="Q364" s="710"/>
      <c r="R364" s="710"/>
    </row>
    <row r="365" spans="1:18">
      <c r="A365" s="716"/>
      <c r="B365" s="710"/>
      <c r="C365" s="710"/>
      <c r="D365" s="710"/>
      <c r="E365" s="710"/>
      <c r="F365" s="710"/>
      <c r="G365" s="710"/>
      <c r="H365" s="710"/>
      <c r="I365" s="710"/>
      <c r="J365" s="710"/>
      <c r="K365" s="710"/>
      <c r="L365" s="710"/>
      <c r="M365" s="710"/>
      <c r="N365" s="710"/>
      <c r="O365" s="710"/>
      <c r="P365" s="710"/>
      <c r="Q365" s="710"/>
      <c r="R365" s="710"/>
    </row>
    <row r="366" spans="1:18">
      <c r="A366" s="716"/>
      <c r="B366" s="710"/>
      <c r="C366" s="710"/>
      <c r="D366" s="710"/>
      <c r="E366" s="710"/>
      <c r="F366" s="710"/>
      <c r="G366" s="710"/>
      <c r="H366" s="710"/>
      <c r="I366" s="710"/>
      <c r="J366" s="710"/>
      <c r="K366" s="710"/>
      <c r="L366" s="710"/>
      <c r="M366" s="710"/>
      <c r="N366" s="710"/>
      <c r="O366" s="710"/>
      <c r="P366" s="710"/>
      <c r="Q366" s="710"/>
      <c r="R366" s="710"/>
    </row>
    <row r="367" spans="1:18">
      <c r="A367" s="716"/>
      <c r="B367" s="710"/>
      <c r="C367" s="710"/>
      <c r="D367" s="710"/>
      <c r="E367" s="710"/>
      <c r="F367" s="710"/>
      <c r="G367" s="710"/>
      <c r="H367" s="710"/>
      <c r="I367" s="710"/>
      <c r="J367" s="710"/>
      <c r="K367" s="710"/>
      <c r="L367" s="710"/>
      <c r="M367" s="710"/>
      <c r="N367" s="710"/>
      <c r="O367" s="710"/>
      <c r="P367" s="710"/>
      <c r="Q367" s="710"/>
      <c r="R367" s="710"/>
    </row>
    <row r="368" spans="1:18">
      <c r="A368" s="716"/>
      <c r="B368" s="710"/>
      <c r="C368" s="710"/>
      <c r="D368" s="710"/>
      <c r="E368" s="710"/>
      <c r="F368" s="710"/>
      <c r="G368" s="710"/>
      <c r="H368" s="710"/>
      <c r="I368" s="710"/>
      <c r="J368" s="710"/>
      <c r="K368" s="710"/>
      <c r="L368" s="710"/>
      <c r="M368" s="710"/>
      <c r="N368" s="710"/>
      <c r="O368" s="710"/>
      <c r="P368" s="710"/>
      <c r="Q368" s="710"/>
      <c r="R368" s="710"/>
    </row>
    <row r="369" spans="1:18">
      <c r="A369" s="716"/>
      <c r="B369" s="710"/>
      <c r="C369" s="710"/>
      <c r="D369" s="710"/>
      <c r="E369" s="710"/>
      <c r="F369" s="710"/>
      <c r="G369" s="710"/>
      <c r="H369" s="710"/>
      <c r="I369" s="710"/>
      <c r="J369" s="710"/>
      <c r="K369" s="710"/>
      <c r="L369" s="710"/>
      <c r="M369" s="710"/>
      <c r="N369" s="710"/>
      <c r="O369" s="710"/>
      <c r="P369" s="710"/>
      <c r="Q369" s="710"/>
      <c r="R369" s="710"/>
    </row>
    <row r="370" spans="1:18">
      <c r="A370" s="716"/>
      <c r="B370" s="710"/>
      <c r="C370" s="710"/>
      <c r="D370" s="710"/>
      <c r="E370" s="710"/>
      <c r="F370" s="710"/>
      <c r="G370" s="710"/>
      <c r="H370" s="710"/>
      <c r="I370" s="710"/>
      <c r="J370" s="710"/>
      <c r="K370" s="710"/>
      <c r="L370" s="710"/>
      <c r="M370" s="710"/>
      <c r="N370" s="710"/>
      <c r="O370" s="710"/>
      <c r="P370" s="710"/>
      <c r="Q370" s="710"/>
      <c r="R370" s="710"/>
    </row>
    <row r="371" spans="1:18">
      <c r="A371" s="716"/>
      <c r="B371" s="710"/>
      <c r="C371" s="710"/>
      <c r="D371" s="710"/>
      <c r="E371" s="710"/>
      <c r="F371" s="710"/>
      <c r="G371" s="710"/>
      <c r="H371" s="710"/>
      <c r="I371" s="710"/>
      <c r="J371" s="710"/>
      <c r="K371" s="710"/>
      <c r="L371" s="710"/>
      <c r="M371" s="710"/>
      <c r="N371" s="710"/>
      <c r="O371" s="710"/>
      <c r="P371" s="710"/>
      <c r="Q371" s="710"/>
      <c r="R371" s="710"/>
    </row>
    <row r="372" spans="1:18">
      <c r="A372" s="716"/>
      <c r="B372" s="710"/>
      <c r="C372" s="710"/>
      <c r="D372" s="710"/>
      <c r="E372" s="710"/>
      <c r="F372" s="710"/>
      <c r="G372" s="710"/>
      <c r="H372" s="710"/>
      <c r="I372" s="710"/>
      <c r="J372" s="710"/>
      <c r="K372" s="710"/>
      <c r="L372" s="710"/>
      <c r="M372" s="710"/>
      <c r="N372" s="710"/>
      <c r="O372" s="710"/>
      <c r="P372" s="710"/>
      <c r="Q372" s="710"/>
      <c r="R372" s="710"/>
    </row>
    <row r="373" spans="1:18">
      <c r="A373" s="716"/>
      <c r="B373" s="710"/>
      <c r="C373" s="710"/>
      <c r="D373" s="710"/>
      <c r="E373" s="710"/>
      <c r="F373" s="710"/>
      <c r="G373" s="710"/>
      <c r="H373" s="710"/>
      <c r="I373" s="710"/>
      <c r="J373" s="710"/>
      <c r="K373" s="710"/>
      <c r="L373" s="710"/>
      <c r="M373" s="710"/>
      <c r="N373" s="710"/>
      <c r="O373" s="710"/>
      <c r="P373" s="710"/>
      <c r="Q373" s="710"/>
      <c r="R373" s="710"/>
    </row>
    <row r="374" spans="1:18">
      <c r="A374" s="716"/>
      <c r="B374" s="710"/>
      <c r="C374" s="710"/>
      <c r="D374" s="710"/>
      <c r="E374" s="710"/>
      <c r="F374" s="710"/>
      <c r="G374" s="710"/>
      <c r="H374" s="710"/>
      <c r="I374" s="710"/>
      <c r="J374" s="710"/>
      <c r="K374" s="710"/>
      <c r="L374" s="710"/>
      <c r="M374" s="710"/>
      <c r="N374" s="710"/>
      <c r="O374" s="710"/>
      <c r="P374" s="710"/>
      <c r="Q374" s="710"/>
      <c r="R374" s="710"/>
    </row>
    <row r="375" spans="1:18">
      <c r="A375" s="716"/>
      <c r="B375" s="710"/>
      <c r="C375" s="710"/>
      <c r="D375" s="710"/>
      <c r="E375" s="710"/>
      <c r="F375" s="710"/>
      <c r="G375" s="710"/>
      <c r="H375" s="710"/>
      <c r="I375" s="710"/>
      <c r="J375" s="710"/>
      <c r="K375" s="710"/>
      <c r="L375" s="710"/>
      <c r="M375" s="710"/>
      <c r="N375" s="710"/>
      <c r="O375" s="710"/>
      <c r="P375" s="710"/>
      <c r="Q375" s="710"/>
      <c r="R375" s="710"/>
    </row>
    <row r="376" spans="1:18">
      <c r="A376" s="716"/>
      <c r="B376" s="710"/>
      <c r="C376" s="710"/>
      <c r="D376" s="710"/>
      <c r="E376" s="710"/>
      <c r="F376" s="710"/>
      <c r="G376" s="710"/>
      <c r="H376" s="710"/>
      <c r="I376" s="710"/>
      <c r="J376" s="710"/>
      <c r="K376" s="710"/>
      <c r="L376" s="710"/>
      <c r="M376" s="710"/>
      <c r="N376" s="710"/>
      <c r="O376" s="710"/>
      <c r="P376" s="710"/>
      <c r="Q376" s="710"/>
      <c r="R376" s="710"/>
    </row>
    <row r="377" spans="1:18">
      <c r="A377" s="716"/>
      <c r="B377" s="710"/>
      <c r="C377" s="710"/>
      <c r="D377" s="710"/>
      <c r="E377" s="710"/>
      <c r="F377" s="710"/>
      <c r="G377" s="710"/>
      <c r="H377" s="710"/>
      <c r="I377" s="710"/>
      <c r="J377" s="710"/>
      <c r="K377" s="710"/>
      <c r="L377" s="710"/>
      <c r="M377" s="710"/>
      <c r="N377" s="710"/>
      <c r="O377" s="710"/>
      <c r="P377" s="710"/>
      <c r="Q377" s="710"/>
      <c r="R377" s="710"/>
    </row>
    <row r="378" spans="1:18">
      <c r="A378" s="716"/>
      <c r="B378" s="710"/>
      <c r="C378" s="710"/>
      <c r="D378" s="710"/>
      <c r="E378" s="710"/>
      <c r="F378" s="710"/>
      <c r="G378" s="710"/>
      <c r="H378" s="710"/>
      <c r="I378" s="710"/>
      <c r="J378" s="710"/>
      <c r="K378" s="710"/>
      <c r="L378" s="710"/>
      <c r="M378" s="710"/>
      <c r="N378" s="710"/>
      <c r="O378" s="710"/>
      <c r="P378" s="710"/>
      <c r="Q378" s="710"/>
      <c r="R378" s="710"/>
    </row>
    <row r="379" spans="1:18">
      <c r="A379" s="716"/>
      <c r="B379" s="710"/>
      <c r="C379" s="710"/>
      <c r="D379" s="710"/>
      <c r="E379" s="710"/>
      <c r="F379" s="710"/>
      <c r="G379" s="710"/>
      <c r="H379" s="710"/>
      <c r="I379" s="710"/>
      <c r="J379" s="710"/>
      <c r="K379" s="710"/>
      <c r="L379" s="710"/>
      <c r="M379" s="710"/>
      <c r="N379" s="710"/>
      <c r="O379" s="710"/>
      <c r="P379" s="710"/>
      <c r="Q379" s="710"/>
      <c r="R379" s="710"/>
    </row>
    <row r="380" spans="1:18">
      <c r="A380" s="716"/>
      <c r="B380" s="710"/>
      <c r="C380" s="710"/>
      <c r="D380" s="710"/>
      <c r="E380" s="710"/>
      <c r="F380" s="710"/>
      <c r="G380" s="710"/>
      <c r="H380" s="710"/>
      <c r="I380" s="710"/>
      <c r="J380" s="710"/>
      <c r="K380" s="710"/>
      <c r="L380" s="710"/>
      <c r="M380" s="710"/>
      <c r="N380" s="710"/>
      <c r="O380" s="710"/>
      <c r="P380" s="710"/>
      <c r="Q380" s="710"/>
      <c r="R380" s="710"/>
    </row>
    <row r="381" spans="1:18">
      <c r="A381" s="716"/>
      <c r="B381" s="710"/>
      <c r="C381" s="710"/>
      <c r="D381" s="710"/>
      <c r="E381" s="710"/>
      <c r="F381" s="710"/>
      <c r="G381" s="710"/>
      <c r="H381" s="710"/>
      <c r="I381" s="710"/>
      <c r="J381" s="710"/>
      <c r="K381" s="710"/>
      <c r="L381" s="710"/>
      <c r="M381" s="710"/>
      <c r="N381" s="710"/>
      <c r="O381" s="710"/>
      <c r="P381" s="710"/>
      <c r="Q381" s="710"/>
      <c r="R381" s="710"/>
    </row>
    <row r="382" spans="1:18">
      <c r="A382" s="716"/>
      <c r="B382" s="710"/>
      <c r="C382" s="710"/>
      <c r="D382" s="710"/>
      <c r="E382" s="710"/>
      <c r="F382" s="710"/>
      <c r="G382" s="710"/>
      <c r="H382" s="710"/>
      <c r="I382" s="710"/>
      <c r="J382" s="710"/>
      <c r="K382" s="710"/>
      <c r="L382" s="710"/>
      <c r="M382" s="710"/>
      <c r="N382" s="710"/>
      <c r="O382" s="710"/>
      <c r="P382" s="710"/>
      <c r="Q382" s="710"/>
      <c r="R382" s="710"/>
    </row>
    <row r="383" spans="1:18">
      <c r="A383" s="716"/>
      <c r="B383" s="710"/>
      <c r="C383" s="710"/>
      <c r="D383" s="710"/>
      <c r="E383" s="710"/>
      <c r="F383" s="710"/>
      <c r="G383" s="710"/>
      <c r="H383" s="710"/>
      <c r="I383" s="710"/>
      <c r="J383" s="710"/>
      <c r="K383" s="710"/>
      <c r="L383" s="710"/>
      <c r="M383" s="710"/>
      <c r="N383" s="710"/>
      <c r="O383" s="710"/>
      <c r="P383" s="710"/>
      <c r="Q383" s="710"/>
      <c r="R383" s="710"/>
    </row>
    <row r="384" spans="1:18">
      <c r="A384" s="716"/>
      <c r="B384" s="710"/>
      <c r="C384" s="710"/>
      <c r="D384" s="710"/>
      <c r="E384" s="710"/>
      <c r="F384" s="710"/>
      <c r="G384" s="710"/>
      <c r="H384" s="710"/>
      <c r="I384" s="710"/>
      <c r="J384" s="710"/>
      <c r="K384" s="710"/>
      <c r="L384" s="710"/>
      <c r="M384" s="710"/>
      <c r="N384" s="710"/>
      <c r="O384" s="710"/>
      <c r="P384" s="710"/>
      <c r="Q384" s="710"/>
      <c r="R384" s="710"/>
    </row>
    <row r="385" spans="1:18">
      <c r="A385" s="716"/>
      <c r="B385" s="710"/>
      <c r="C385" s="710"/>
      <c r="D385" s="710"/>
      <c r="E385" s="710"/>
      <c r="F385" s="710"/>
      <c r="G385" s="710"/>
      <c r="H385" s="710"/>
      <c r="I385" s="710"/>
      <c r="J385" s="710"/>
      <c r="K385" s="710"/>
      <c r="L385" s="710"/>
      <c r="M385" s="710"/>
      <c r="N385" s="710"/>
      <c r="O385" s="710"/>
      <c r="P385" s="710"/>
      <c r="Q385" s="710"/>
      <c r="R385" s="710"/>
    </row>
    <row r="386" spans="1:18">
      <c r="A386" s="716"/>
      <c r="B386" s="710"/>
      <c r="C386" s="710"/>
      <c r="D386" s="710"/>
      <c r="E386" s="710"/>
      <c r="F386" s="710"/>
      <c r="G386" s="710"/>
      <c r="H386" s="710"/>
      <c r="I386" s="710"/>
      <c r="J386" s="710"/>
      <c r="K386" s="710"/>
      <c r="L386" s="710"/>
      <c r="M386" s="710"/>
      <c r="N386" s="710"/>
      <c r="O386" s="710"/>
      <c r="P386" s="710"/>
      <c r="Q386" s="710"/>
      <c r="R386" s="710"/>
    </row>
    <row r="387" spans="1:18">
      <c r="A387" s="716"/>
      <c r="B387" s="710"/>
      <c r="C387" s="710"/>
      <c r="D387" s="710"/>
      <c r="E387" s="710"/>
      <c r="F387" s="710"/>
      <c r="G387" s="710"/>
      <c r="H387" s="710"/>
      <c r="I387" s="710"/>
      <c r="J387" s="710"/>
      <c r="K387" s="710"/>
      <c r="L387" s="710"/>
      <c r="M387" s="710"/>
      <c r="N387" s="710"/>
      <c r="O387" s="710"/>
      <c r="P387" s="710"/>
      <c r="Q387" s="710"/>
      <c r="R387" s="710"/>
    </row>
    <row r="388" spans="1:18">
      <c r="A388" s="716"/>
      <c r="B388" s="710"/>
      <c r="C388" s="710"/>
      <c r="D388" s="710"/>
      <c r="E388" s="710"/>
      <c r="F388" s="710"/>
      <c r="G388" s="710"/>
      <c r="H388" s="710"/>
      <c r="I388" s="710"/>
      <c r="J388" s="710"/>
      <c r="K388" s="710"/>
      <c r="L388" s="710"/>
      <c r="M388" s="710"/>
      <c r="N388" s="710"/>
      <c r="O388" s="710"/>
      <c r="P388" s="710"/>
      <c r="Q388" s="710"/>
      <c r="R388" s="710"/>
    </row>
    <row r="389" spans="1:18">
      <c r="A389" s="716"/>
      <c r="B389" s="710"/>
      <c r="C389" s="710"/>
      <c r="D389" s="710"/>
      <c r="E389" s="710"/>
      <c r="F389" s="710"/>
      <c r="G389" s="710"/>
      <c r="H389" s="710"/>
      <c r="I389" s="710"/>
      <c r="J389" s="710"/>
      <c r="K389" s="710"/>
      <c r="L389" s="710"/>
      <c r="M389" s="710"/>
      <c r="N389" s="710"/>
      <c r="O389" s="710"/>
      <c r="P389" s="710"/>
      <c r="Q389" s="710"/>
      <c r="R389" s="710"/>
    </row>
    <row r="390" spans="1:18">
      <c r="A390" s="716"/>
      <c r="B390" s="710"/>
      <c r="C390" s="710"/>
      <c r="D390" s="710"/>
      <c r="E390" s="710"/>
      <c r="F390" s="710"/>
      <c r="G390" s="710"/>
      <c r="H390" s="710"/>
      <c r="I390" s="710"/>
      <c r="J390" s="710"/>
      <c r="K390" s="710"/>
      <c r="L390" s="710"/>
      <c r="M390" s="710"/>
      <c r="N390" s="710"/>
      <c r="O390" s="710"/>
      <c r="P390" s="710"/>
      <c r="Q390" s="710"/>
      <c r="R390" s="710"/>
    </row>
    <row r="391" spans="1:18">
      <c r="A391" s="716"/>
      <c r="B391" s="710"/>
      <c r="C391" s="710"/>
      <c r="D391" s="710"/>
      <c r="E391" s="710"/>
      <c r="F391" s="710"/>
      <c r="G391" s="710"/>
      <c r="H391" s="710"/>
      <c r="I391" s="710"/>
      <c r="J391" s="710"/>
      <c r="K391" s="710"/>
      <c r="L391" s="710"/>
      <c r="M391" s="710"/>
      <c r="N391" s="710"/>
      <c r="O391" s="710"/>
      <c r="P391" s="710"/>
      <c r="Q391" s="710"/>
      <c r="R391" s="710"/>
    </row>
    <row r="392" spans="1:18">
      <c r="A392" s="716"/>
      <c r="B392" s="710"/>
      <c r="C392" s="710"/>
      <c r="D392" s="710"/>
      <c r="E392" s="710"/>
      <c r="F392" s="710"/>
      <c r="G392" s="710"/>
      <c r="H392" s="710"/>
      <c r="I392" s="710"/>
      <c r="J392" s="710"/>
      <c r="K392" s="710"/>
      <c r="L392" s="710"/>
      <c r="M392" s="710"/>
      <c r="N392" s="710"/>
      <c r="O392" s="710"/>
      <c r="P392" s="710"/>
      <c r="Q392" s="710"/>
      <c r="R392" s="710"/>
    </row>
    <row r="393" spans="1:18">
      <c r="A393" s="716"/>
      <c r="B393" s="710"/>
      <c r="C393" s="710"/>
      <c r="D393" s="710"/>
      <c r="E393" s="710"/>
      <c r="F393" s="710"/>
      <c r="G393" s="710"/>
      <c r="H393" s="710"/>
      <c r="I393" s="710"/>
      <c r="J393" s="710"/>
      <c r="K393" s="710"/>
      <c r="L393" s="710"/>
      <c r="M393" s="710"/>
      <c r="N393" s="710"/>
      <c r="O393" s="710"/>
      <c r="P393" s="710"/>
      <c r="Q393" s="710"/>
      <c r="R393" s="710"/>
    </row>
    <row r="394" spans="1:18">
      <c r="A394" s="716"/>
      <c r="B394" s="710"/>
      <c r="C394" s="710"/>
      <c r="D394" s="710"/>
      <c r="E394" s="710"/>
      <c r="F394" s="710"/>
      <c r="G394" s="710"/>
      <c r="H394" s="710"/>
      <c r="I394" s="710"/>
      <c r="J394" s="710"/>
      <c r="K394" s="710"/>
      <c r="L394" s="710"/>
      <c r="M394" s="710"/>
      <c r="N394" s="710"/>
      <c r="O394" s="710"/>
      <c r="P394" s="710"/>
      <c r="Q394" s="710"/>
      <c r="R394" s="710"/>
    </row>
    <row r="395" spans="1:18">
      <c r="A395" s="716"/>
      <c r="B395" s="710"/>
      <c r="C395" s="710"/>
      <c r="D395" s="710"/>
      <c r="E395" s="710"/>
      <c r="F395" s="710"/>
      <c r="G395" s="710"/>
      <c r="H395" s="710"/>
      <c r="I395" s="710"/>
      <c r="J395" s="710"/>
      <c r="K395" s="710"/>
      <c r="L395" s="710"/>
      <c r="M395" s="710"/>
      <c r="N395" s="710"/>
      <c r="O395" s="710"/>
      <c r="P395" s="710"/>
      <c r="Q395" s="710"/>
      <c r="R395" s="710"/>
    </row>
    <row r="396" spans="1:18">
      <c r="A396" s="716"/>
      <c r="B396" s="710"/>
      <c r="C396" s="710"/>
      <c r="D396" s="710"/>
      <c r="E396" s="710"/>
      <c r="F396" s="710"/>
      <c r="G396" s="710"/>
      <c r="H396" s="710"/>
      <c r="I396" s="710"/>
      <c r="J396" s="710"/>
      <c r="K396" s="710"/>
      <c r="L396" s="710"/>
      <c r="M396" s="710"/>
      <c r="N396" s="710"/>
      <c r="O396" s="710"/>
      <c r="P396" s="710"/>
      <c r="Q396" s="710"/>
      <c r="R396" s="710"/>
    </row>
    <row r="397" spans="1:18">
      <c r="A397" s="716"/>
      <c r="B397" s="710"/>
      <c r="C397" s="710"/>
      <c r="D397" s="710"/>
      <c r="E397" s="710"/>
      <c r="F397" s="710"/>
      <c r="G397" s="710"/>
      <c r="H397" s="710"/>
      <c r="I397" s="710"/>
      <c r="J397" s="710"/>
      <c r="K397" s="710"/>
      <c r="L397" s="710"/>
      <c r="M397" s="710"/>
      <c r="N397" s="710"/>
      <c r="O397" s="710"/>
      <c r="P397" s="710"/>
      <c r="Q397" s="710"/>
      <c r="R397" s="710"/>
    </row>
    <row r="398" spans="1:18">
      <c r="A398" s="716"/>
      <c r="B398" s="710"/>
      <c r="C398" s="710"/>
      <c r="D398" s="710"/>
      <c r="E398" s="710"/>
      <c r="F398" s="710"/>
      <c r="G398" s="710"/>
      <c r="H398" s="710"/>
      <c r="I398" s="710"/>
      <c r="J398" s="710"/>
      <c r="K398" s="710"/>
      <c r="L398" s="710"/>
      <c r="M398" s="710"/>
      <c r="N398" s="710"/>
      <c r="O398" s="710"/>
      <c r="P398" s="710"/>
      <c r="Q398" s="710"/>
      <c r="R398" s="710"/>
    </row>
    <row r="399" spans="1:18">
      <c r="A399" s="716"/>
      <c r="B399" s="710"/>
      <c r="C399" s="710"/>
      <c r="D399" s="710"/>
      <c r="E399" s="710"/>
      <c r="F399" s="710"/>
      <c r="G399" s="710"/>
      <c r="H399" s="710"/>
      <c r="I399" s="710"/>
      <c r="J399" s="710"/>
      <c r="K399" s="710"/>
      <c r="L399" s="710"/>
      <c r="M399" s="710"/>
      <c r="N399" s="710"/>
      <c r="O399" s="710"/>
      <c r="P399" s="710"/>
      <c r="Q399" s="710"/>
      <c r="R399" s="710"/>
    </row>
    <row r="400" spans="1:18">
      <c r="A400" s="716"/>
      <c r="B400" s="710"/>
      <c r="C400" s="710"/>
      <c r="D400" s="710"/>
      <c r="E400" s="710"/>
      <c r="F400" s="710"/>
      <c r="G400" s="710"/>
      <c r="H400" s="710"/>
      <c r="I400" s="710"/>
      <c r="J400" s="710"/>
      <c r="K400" s="710"/>
      <c r="L400" s="710"/>
      <c r="M400" s="710"/>
      <c r="N400" s="710"/>
      <c r="O400" s="710"/>
      <c r="P400" s="710"/>
      <c r="Q400" s="710"/>
      <c r="R400" s="710"/>
    </row>
    <row r="401" spans="1:18">
      <c r="A401" s="716"/>
      <c r="B401" s="710"/>
      <c r="C401" s="710"/>
      <c r="D401" s="710"/>
      <c r="E401" s="710"/>
      <c r="F401" s="710"/>
      <c r="G401" s="710"/>
      <c r="H401" s="710"/>
      <c r="I401" s="710"/>
      <c r="J401" s="710"/>
      <c r="K401" s="710"/>
      <c r="L401" s="710"/>
      <c r="M401" s="710"/>
      <c r="N401" s="710"/>
      <c r="O401" s="710"/>
      <c r="P401" s="710"/>
      <c r="Q401" s="710"/>
      <c r="R401" s="710"/>
    </row>
    <row r="402" spans="1:18">
      <c r="A402" s="716"/>
      <c r="B402" s="710"/>
      <c r="C402" s="710"/>
      <c r="D402" s="710"/>
      <c r="E402" s="710"/>
      <c r="F402" s="710"/>
      <c r="G402" s="710"/>
      <c r="H402" s="710"/>
      <c r="I402" s="710"/>
      <c r="J402" s="710"/>
      <c r="K402" s="710"/>
      <c r="L402" s="710"/>
      <c r="M402" s="710"/>
      <c r="N402" s="710"/>
      <c r="O402" s="710"/>
      <c r="P402" s="710"/>
      <c r="Q402" s="710"/>
      <c r="R402" s="710"/>
    </row>
    <row r="403" spans="1:18">
      <c r="A403" s="716"/>
      <c r="B403" s="710"/>
      <c r="C403" s="710"/>
      <c r="D403" s="710"/>
      <c r="E403" s="710"/>
      <c r="F403" s="710"/>
      <c r="G403" s="710"/>
      <c r="H403" s="710"/>
      <c r="I403" s="710"/>
      <c r="J403" s="710"/>
      <c r="K403" s="710"/>
      <c r="L403" s="710"/>
      <c r="M403" s="710"/>
      <c r="N403" s="710"/>
      <c r="O403" s="710"/>
      <c r="P403" s="710"/>
      <c r="Q403" s="710"/>
      <c r="R403" s="710"/>
    </row>
    <row r="404" spans="1:18">
      <c r="A404" s="716"/>
      <c r="B404" s="710"/>
      <c r="C404" s="710"/>
      <c r="D404" s="710"/>
      <c r="E404" s="710"/>
      <c r="F404" s="710"/>
      <c r="G404" s="710"/>
      <c r="H404" s="710"/>
      <c r="I404" s="710"/>
      <c r="J404" s="710"/>
      <c r="K404" s="710"/>
      <c r="L404" s="710"/>
      <c r="M404" s="710"/>
      <c r="N404" s="710"/>
      <c r="O404" s="710"/>
      <c r="P404" s="710"/>
      <c r="Q404" s="710"/>
      <c r="R404" s="710"/>
    </row>
    <row r="405" spans="1:18">
      <c r="A405" s="716"/>
      <c r="B405" s="710"/>
      <c r="C405" s="710"/>
      <c r="D405" s="710"/>
      <c r="E405" s="710"/>
      <c r="F405" s="710"/>
      <c r="G405" s="710"/>
      <c r="H405" s="710"/>
      <c r="I405" s="710"/>
      <c r="J405" s="710"/>
      <c r="K405" s="710"/>
      <c r="L405" s="710"/>
      <c r="M405" s="710"/>
      <c r="N405" s="710"/>
      <c r="O405" s="710"/>
      <c r="P405" s="710"/>
      <c r="Q405" s="710"/>
      <c r="R405" s="710"/>
    </row>
    <row r="406" spans="1:18">
      <c r="A406" s="716"/>
      <c r="B406" s="710"/>
      <c r="C406" s="710"/>
      <c r="D406" s="710"/>
      <c r="E406" s="710"/>
      <c r="F406" s="710"/>
      <c r="G406" s="710"/>
      <c r="H406" s="710"/>
      <c r="I406" s="710"/>
      <c r="J406" s="710"/>
      <c r="K406" s="710"/>
      <c r="L406" s="710"/>
      <c r="M406" s="710"/>
      <c r="N406" s="710"/>
      <c r="O406" s="710"/>
      <c r="P406" s="710"/>
      <c r="Q406" s="710"/>
      <c r="R406" s="710"/>
    </row>
    <row r="407" spans="1:18">
      <c r="A407" s="716"/>
      <c r="B407" s="710"/>
      <c r="C407" s="710"/>
      <c r="D407" s="710"/>
      <c r="E407" s="710"/>
      <c r="F407" s="710"/>
      <c r="G407" s="710"/>
      <c r="H407" s="710"/>
      <c r="I407" s="710"/>
      <c r="J407" s="710"/>
      <c r="K407" s="710"/>
      <c r="L407" s="710"/>
      <c r="M407" s="710"/>
      <c r="N407" s="710"/>
      <c r="O407" s="710"/>
      <c r="P407" s="710"/>
      <c r="Q407" s="710"/>
      <c r="R407" s="710"/>
    </row>
    <row r="408" spans="1:18">
      <c r="A408" s="716"/>
      <c r="B408" s="710"/>
      <c r="C408" s="710"/>
      <c r="D408" s="710"/>
      <c r="E408" s="710"/>
      <c r="F408" s="710"/>
      <c r="G408" s="710"/>
      <c r="H408" s="710"/>
      <c r="I408" s="710"/>
      <c r="J408" s="710"/>
      <c r="K408" s="710"/>
      <c r="L408" s="710"/>
      <c r="M408" s="710"/>
      <c r="N408" s="710"/>
      <c r="O408" s="710"/>
      <c r="P408" s="710"/>
      <c r="Q408" s="710"/>
      <c r="R408" s="710"/>
    </row>
    <row r="409" spans="1:18">
      <c r="A409" s="716"/>
      <c r="B409" s="710"/>
      <c r="C409" s="710"/>
      <c r="D409" s="710"/>
      <c r="E409" s="710"/>
      <c r="F409" s="710"/>
      <c r="G409" s="710"/>
      <c r="H409" s="710"/>
      <c r="I409" s="710"/>
      <c r="J409" s="710"/>
      <c r="K409" s="710"/>
      <c r="L409" s="710"/>
      <c r="M409" s="710"/>
      <c r="N409" s="710"/>
      <c r="O409" s="710"/>
      <c r="P409" s="710"/>
      <c r="Q409" s="710"/>
      <c r="R409" s="710"/>
    </row>
    <row r="410" spans="1:18">
      <c r="A410" s="716"/>
      <c r="B410" s="710"/>
      <c r="C410" s="710"/>
      <c r="D410" s="710"/>
      <c r="E410" s="710"/>
      <c r="F410" s="710"/>
      <c r="G410" s="710"/>
      <c r="H410" s="710"/>
      <c r="I410" s="710"/>
      <c r="J410" s="710"/>
      <c r="K410" s="710"/>
      <c r="L410" s="710"/>
      <c r="M410" s="710"/>
      <c r="N410" s="710"/>
      <c r="O410" s="710"/>
      <c r="P410" s="710"/>
      <c r="Q410" s="710"/>
      <c r="R410" s="710"/>
    </row>
    <row r="411" spans="1:18">
      <c r="A411" s="716"/>
      <c r="B411" s="710"/>
      <c r="C411" s="710"/>
      <c r="D411" s="710"/>
      <c r="E411" s="710"/>
      <c r="F411" s="710"/>
      <c r="G411" s="710"/>
      <c r="H411" s="710"/>
      <c r="I411" s="710"/>
      <c r="J411" s="710"/>
      <c r="K411" s="710"/>
      <c r="L411" s="710"/>
      <c r="M411" s="710"/>
      <c r="N411" s="710"/>
      <c r="O411" s="710"/>
      <c r="P411" s="710"/>
      <c r="Q411" s="710"/>
      <c r="R411" s="710"/>
    </row>
    <row r="412" spans="1:18">
      <c r="A412" s="716"/>
      <c r="B412" s="710"/>
      <c r="C412" s="710"/>
      <c r="D412" s="710"/>
      <c r="E412" s="710"/>
      <c r="F412" s="710"/>
      <c r="G412" s="710"/>
      <c r="H412" s="710"/>
      <c r="I412" s="710"/>
      <c r="J412" s="710"/>
      <c r="K412" s="710"/>
      <c r="L412" s="710"/>
      <c r="M412" s="710"/>
      <c r="N412" s="710"/>
      <c r="O412" s="710"/>
      <c r="P412" s="710"/>
      <c r="Q412" s="710"/>
      <c r="R412" s="710"/>
    </row>
    <row r="413" spans="1:18">
      <c r="A413" s="716"/>
      <c r="B413" s="710"/>
      <c r="C413" s="710"/>
      <c r="D413" s="710"/>
      <c r="E413" s="710"/>
      <c r="F413" s="710"/>
      <c r="G413" s="710"/>
      <c r="H413" s="710"/>
      <c r="I413" s="710"/>
      <c r="J413" s="710"/>
      <c r="K413" s="710"/>
      <c r="L413" s="710"/>
      <c r="M413" s="710"/>
      <c r="N413" s="710"/>
      <c r="O413" s="710"/>
      <c r="P413" s="710"/>
      <c r="Q413" s="710"/>
      <c r="R413" s="710"/>
    </row>
    <row r="414" spans="1:18">
      <c r="A414" s="716"/>
      <c r="B414" s="710"/>
      <c r="C414" s="710"/>
      <c r="D414" s="710"/>
      <c r="E414" s="710"/>
      <c r="F414" s="710"/>
      <c r="G414" s="710"/>
      <c r="H414" s="710"/>
      <c r="I414" s="710"/>
      <c r="J414" s="710"/>
      <c r="K414" s="710"/>
      <c r="L414" s="710"/>
      <c r="M414" s="710"/>
      <c r="N414" s="710"/>
      <c r="O414" s="710"/>
      <c r="P414" s="710"/>
      <c r="Q414" s="710"/>
      <c r="R414" s="710"/>
    </row>
    <row r="415" spans="1:18">
      <c r="A415" s="716"/>
      <c r="B415" s="710"/>
      <c r="C415" s="710"/>
      <c r="D415" s="710"/>
      <c r="E415" s="710"/>
      <c r="F415" s="710"/>
      <c r="G415" s="710"/>
      <c r="H415" s="710"/>
      <c r="I415" s="710"/>
      <c r="J415" s="710"/>
      <c r="K415" s="710"/>
      <c r="L415" s="710"/>
      <c r="M415" s="710"/>
      <c r="N415" s="710"/>
      <c r="O415" s="710"/>
      <c r="P415" s="710"/>
      <c r="Q415" s="710"/>
      <c r="R415" s="710"/>
    </row>
    <row r="416" spans="1:18">
      <c r="A416" s="716"/>
      <c r="B416" s="710"/>
      <c r="C416" s="710"/>
      <c r="D416" s="710"/>
      <c r="E416" s="710"/>
      <c r="F416" s="710"/>
      <c r="G416" s="710"/>
      <c r="H416" s="710"/>
      <c r="I416" s="710"/>
      <c r="J416" s="710"/>
      <c r="K416" s="710"/>
      <c r="L416" s="710"/>
      <c r="M416" s="710"/>
      <c r="N416" s="710"/>
      <c r="O416" s="710"/>
      <c r="P416" s="710"/>
      <c r="Q416" s="710"/>
      <c r="R416" s="710"/>
    </row>
    <row r="417" spans="1:18">
      <c r="A417" s="716"/>
      <c r="B417" s="710"/>
      <c r="C417" s="710"/>
      <c r="D417" s="710"/>
      <c r="E417" s="710"/>
      <c r="F417" s="710"/>
      <c r="G417" s="710"/>
      <c r="H417" s="710"/>
      <c r="I417" s="710"/>
      <c r="J417" s="710"/>
      <c r="K417" s="710"/>
      <c r="L417" s="710"/>
      <c r="M417" s="710"/>
      <c r="N417" s="710"/>
      <c r="O417" s="710"/>
      <c r="P417" s="710"/>
      <c r="Q417" s="710"/>
      <c r="R417" s="710"/>
    </row>
    <row r="418" spans="1:18">
      <c r="A418" s="716"/>
      <c r="B418" s="710"/>
      <c r="C418" s="710"/>
      <c r="D418" s="710"/>
      <c r="E418" s="710"/>
      <c r="F418" s="710"/>
      <c r="G418" s="710"/>
      <c r="H418" s="710"/>
      <c r="I418" s="710"/>
      <c r="J418" s="710"/>
      <c r="K418" s="710"/>
      <c r="L418" s="710"/>
      <c r="M418" s="710"/>
      <c r="N418" s="710"/>
      <c r="O418" s="710"/>
      <c r="P418" s="710"/>
      <c r="Q418" s="710"/>
      <c r="R418" s="710"/>
    </row>
    <row r="419" spans="1:18">
      <c r="A419" s="716"/>
      <c r="B419" s="710"/>
      <c r="C419" s="710"/>
      <c r="D419" s="710"/>
      <c r="E419" s="710"/>
      <c r="F419" s="710"/>
      <c r="G419" s="710"/>
      <c r="H419" s="710"/>
      <c r="I419" s="710"/>
      <c r="J419" s="710"/>
      <c r="K419" s="710"/>
      <c r="L419" s="710"/>
      <c r="M419" s="710"/>
      <c r="N419" s="710"/>
      <c r="O419" s="710"/>
      <c r="P419" s="710"/>
      <c r="Q419" s="710"/>
      <c r="R419" s="710"/>
    </row>
    <row r="420" spans="1:18">
      <c r="A420" s="716"/>
      <c r="B420" s="710"/>
      <c r="C420" s="710"/>
      <c r="D420" s="710"/>
      <c r="E420" s="710"/>
      <c r="F420" s="710"/>
      <c r="G420" s="710"/>
      <c r="H420" s="710"/>
      <c r="I420" s="710"/>
      <c r="J420" s="710"/>
      <c r="K420" s="710"/>
      <c r="L420" s="710"/>
      <c r="M420" s="710"/>
      <c r="N420" s="710"/>
      <c r="O420" s="710"/>
      <c r="P420" s="710"/>
      <c r="Q420" s="710"/>
      <c r="R420" s="710"/>
    </row>
    <row r="421" spans="1:18">
      <c r="A421" s="716"/>
      <c r="B421" s="710"/>
      <c r="C421" s="710"/>
      <c r="D421" s="710"/>
      <c r="E421" s="710"/>
      <c r="F421" s="710"/>
      <c r="G421" s="710"/>
      <c r="H421" s="710"/>
      <c r="I421" s="710"/>
      <c r="J421" s="710"/>
      <c r="K421" s="710"/>
      <c r="L421" s="710"/>
      <c r="M421" s="710"/>
      <c r="N421" s="710"/>
      <c r="O421" s="710"/>
      <c r="P421" s="710"/>
      <c r="Q421" s="710"/>
      <c r="R421" s="710"/>
    </row>
    <row r="422" spans="1:18">
      <c r="A422" s="716"/>
      <c r="B422" s="710"/>
      <c r="C422" s="710"/>
      <c r="D422" s="710"/>
      <c r="E422" s="710"/>
      <c r="F422" s="710"/>
      <c r="G422" s="710"/>
      <c r="H422" s="710"/>
      <c r="I422" s="710"/>
      <c r="J422" s="710"/>
      <c r="K422" s="710"/>
      <c r="L422" s="710"/>
      <c r="M422" s="710"/>
      <c r="N422" s="710"/>
      <c r="O422" s="710"/>
      <c r="P422" s="710"/>
      <c r="Q422" s="710"/>
      <c r="R422" s="710"/>
    </row>
    <row r="423" spans="1:18">
      <c r="A423" s="716"/>
      <c r="B423" s="710"/>
      <c r="C423" s="710"/>
      <c r="D423" s="710"/>
      <c r="E423" s="710"/>
      <c r="F423" s="710"/>
      <c r="G423" s="710"/>
      <c r="H423" s="710"/>
      <c r="I423" s="710"/>
      <c r="J423" s="710"/>
      <c r="K423" s="710"/>
      <c r="L423" s="710"/>
      <c r="M423" s="710"/>
      <c r="N423" s="710"/>
      <c r="O423" s="710"/>
      <c r="P423" s="710"/>
      <c r="Q423" s="710"/>
      <c r="R423" s="710"/>
    </row>
    <row r="424" spans="1:18">
      <c r="A424" s="716"/>
      <c r="B424" s="710"/>
      <c r="C424" s="710"/>
      <c r="D424" s="710"/>
      <c r="E424" s="710"/>
      <c r="F424" s="710"/>
      <c r="G424" s="710"/>
      <c r="H424" s="710"/>
      <c r="I424" s="710"/>
      <c r="J424" s="710"/>
      <c r="K424" s="710"/>
      <c r="L424" s="710"/>
      <c r="M424" s="710"/>
      <c r="N424" s="710"/>
      <c r="O424" s="710"/>
      <c r="P424" s="710"/>
      <c r="Q424" s="710"/>
      <c r="R424" s="710"/>
    </row>
    <row r="425" spans="1:18">
      <c r="A425" s="716"/>
      <c r="B425" s="710"/>
      <c r="C425" s="710"/>
      <c r="D425" s="710"/>
      <c r="E425" s="710"/>
      <c r="F425" s="710"/>
      <c r="G425" s="710"/>
      <c r="H425" s="710"/>
      <c r="I425" s="710"/>
      <c r="J425" s="710"/>
      <c r="K425" s="710"/>
      <c r="L425" s="710"/>
      <c r="M425" s="710"/>
      <c r="N425" s="710"/>
      <c r="O425" s="710"/>
      <c r="P425" s="710"/>
      <c r="Q425" s="710"/>
      <c r="R425" s="710"/>
    </row>
    <row r="426" spans="1:18">
      <c r="A426" s="716"/>
      <c r="B426" s="710"/>
      <c r="C426" s="710"/>
      <c r="D426" s="710"/>
      <c r="E426" s="710"/>
      <c r="F426" s="710"/>
      <c r="G426" s="710"/>
      <c r="H426" s="710"/>
      <c r="I426" s="710"/>
      <c r="J426" s="710"/>
      <c r="K426" s="710"/>
      <c r="L426" s="710"/>
      <c r="M426" s="710"/>
      <c r="N426" s="710"/>
      <c r="O426" s="710"/>
      <c r="P426" s="710"/>
      <c r="Q426" s="710"/>
      <c r="R426" s="710"/>
    </row>
    <row r="427" spans="1:18">
      <c r="A427" s="716"/>
      <c r="B427" s="710"/>
      <c r="C427" s="710"/>
      <c r="D427" s="710"/>
      <c r="E427" s="710"/>
      <c r="F427" s="710"/>
      <c r="G427" s="710"/>
      <c r="H427" s="710"/>
      <c r="I427" s="710"/>
      <c r="J427" s="710"/>
      <c r="K427" s="710"/>
      <c r="L427" s="710"/>
      <c r="M427" s="710"/>
      <c r="N427" s="710"/>
      <c r="O427" s="710"/>
      <c r="P427" s="710"/>
      <c r="Q427" s="710"/>
      <c r="R427" s="710"/>
    </row>
    <row r="428" spans="1:18">
      <c r="A428" s="716"/>
      <c r="B428" s="710"/>
      <c r="C428" s="710"/>
      <c r="D428" s="710"/>
      <c r="E428" s="710"/>
      <c r="F428" s="710"/>
      <c r="G428" s="710"/>
      <c r="H428" s="710"/>
      <c r="I428" s="710"/>
      <c r="J428" s="710"/>
      <c r="K428" s="710"/>
      <c r="L428" s="710"/>
      <c r="M428" s="710"/>
      <c r="N428" s="710"/>
      <c r="O428" s="710"/>
      <c r="P428" s="710"/>
      <c r="Q428" s="710"/>
      <c r="R428" s="710"/>
    </row>
    <row r="429" spans="1:18">
      <c r="A429" s="716"/>
      <c r="B429" s="710"/>
      <c r="C429" s="710"/>
      <c r="D429" s="710"/>
      <c r="E429" s="710"/>
      <c r="F429" s="710"/>
      <c r="G429" s="710"/>
      <c r="H429" s="710"/>
      <c r="I429" s="710"/>
      <c r="J429" s="710"/>
      <c r="K429" s="710"/>
      <c r="L429" s="710"/>
      <c r="M429" s="710"/>
      <c r="N429" s="710"/>
      <c r="O429" s="710"/>
      <c r="P429" s="710"/>
      <c r="Q429" s="710"/>
      <c r="R429" s="710"/>
    </row>
    <row r="430" spans="1:18">
      <c r="A430" s="716"/>
      <c r="B430" s="710"/>
      <c r="C430" s="710"/>
      <c r="D430" s="710"/>
      <c r="E430" s="710"/>
      <c r="F430" s="710"/>
      <c r="G430" s="710"/>
      <c r="H430" s="710"/>
      <c r="I430" s="710"/>
      <c r="J430" s="710"/>
      <c r="K430" s="710"/>
      <c r="L430" s="710"/>
      <c r="M430" s="710"/>
      <c r="N430" s="710"/>
      <c r="O430" s="710"/>
      <c r="P430" s="710"/>
      <c r="Q430" s="710"/>
      <c r="R430" s="710"/>
    </row>
    <row r="431" spans="1:18">
      <c r="A431" s="716"/>
      <c r="B431" s="710"/>
      <c r="C431" s="710"/>
      <c r="D431" s="710"/>
      <c r="E431" s="710"/>
      <c r="F431" s="710"/>
      <c r="G431" s="710"/>
      <c r="H431" s="710"/>
      <c r="I431" s="710"/>
      <c r="J431" s="710"/>
      <c r="K431" s="710"/>
      <c r="L431" s="710"/>
      <c r="M431" s="710"/>
      <c r="N431" s="710"/>
      <c r="O431" s="710"/>
      <c r="P431" s="710"/>
      <c r="Q431" s="710"/>
      <c r="R431" s="710"/>
    </row>
    <row r="432" spans="1:18">
      <c r="A432" s="716"/>
      <c r="B432" s="710"/>
      <c r="C432" s="710"/>
      <c r="D432" s="710"/>
      <c r="E432" s="710"/>
      <c r="F432" s="710"/>
      <c r="G432" s="710"/>
      <c r="H432" s="710"/>
      <c r="I432" s="710"/>
      <c r="J432" s="710"/>
      <c r="K432" s="710"/>
      <c r="L432" s="710"/>
      <c r="M432" s="710"/>
      <c r="N432" s="710"/>
      <c r="O432" s="710"/>
      <c r="P432" s="710"/>
      <c r="Q432" s="710"/>
      <c r="R432" s="710"/>
    </row>
    <row r="433" spans="1:18">
      <c r="A433" s="716"/>
      <c r="B433" s="710"/>
      <c r="C433" s="710"/>
      <c r="D433" s="710"/>
      <c r="E433" s="710"/>
      <c r="F433" s="710"/>
      <c r="G433" s="710"/>
      <c r="H433" s="710"/>
      <c r="I433" s="710"/>
      <c r="J433" s="710"/>
      <c r="K433" s="710"/>
      <c r="L433" s="710"/>
      <c r="M433" s="710"/>
      <c r="N433" s="710"/>
      <c r="O433" s="710"/>
      <c r="P433" s="710"/>
      <c r="Q433" s="710"/>
      <c r="R433" s="710"/>
    </row>
    <row r="434" spans="1:18">
      <c r="A434" s="716"/>
      <c r="B434" s="710"/>
      <c r="C434" s="710"/>
      <c r="D434" s="710"/>
      <c r="E434" s="710"/>
      <c r="F434" s="710"/>
      <c r="G434" s="710"/>
      <c r="H434" s="710"/>
      <c r="I434" s="710"/>
      <c r="J434" s="710"/>
      <c r="K434" s="710"/>
      <c r="L434" s="710"/>
      <c r="M434" s="710"/>
      <c r="N434" s="710"/>
      <c r="O434" s="710"/>
      <c r="P434" s="710"/>
      <c r="Q434" s="710"/>
      <c r="R434" s="710"/>
    </row>
    <row r="435" spans="1:18">
      <c r="A435" s="716"/>
      <c r="B435" s="710"/>
      <c r="C435" s="710"/>
      <c r="D435" s="710"/>
      <c r="E435" s="710"/>
      <c r="F435" s="710"/>
      <c r="G435" s="710"/>
      <c r="H435" s="710"/>
      <c r="I435" s="710"/>
      <c r="J435" s="710"/>
      <c r="K435" s="710"/>
      <c r="L435" s="710"/>
      <c r="M435" s="710"/>
      <c r="N435" s="710"/>
      <c r="O435" s="710"/>
      <c r="P435" s="710"/>
      <c r="Q435" s="710"/>
      <c r="R435" s="710"/>
    </row>
    <row r="436" spans="1:18">
      <c r="A436" s="716"/>
      <c r="B436" s="710"/>
      <c r="C436" s="710"/>
      <c r="D436" s="710"/>
      <c r="E436" s="710"/>
      <c r="F436" s="710"/>
      <c r="G436" s="710"/>
      <c r="H436" s="710"/>
      <c r="I436" s="710"/>
      <c r="J436" s="710"/>
      <c r="K436" s="710"/>
      <c r="L436" s="710"/>
      <c r="M436" s="710"/>
      <c r="N436" s="710"/>
      <c r="O436" s="710"/>
      <c r="P436" s="710"/>
      <c r="Q436" s="710"/>
      <c r="R436" s="710"/>
    </row>
    <row r="437" spans="1:18">
      <c r="A437" s="716"/>
      <c r="B437" s="710"/>
      <c r="C437" s="710"/>
      <c r="D437" s="710"/>
      <c r="E437" s="710"/>
      <c r="F437" s="710"/>
      <c r="G437" s="710"/>
      <c r="H437" s="710"/>
      <c r="I437" s="710"/>
      <c r="J437" s="710"/>
      <c r="K437" s="710"/>
      <c r="L437" s="710"/>
      <c r="M437" s="710"/>
      <c r="N437" s="710"/>
      <c r="O437" s="710"/>
      <c r="P437" s="710"/>
      <c r="Q437" s="710"/>
      <c r="R437" s="710"/>
    </row>
    <row r="438" spans="1:18">
      <c r="A438" s="716"/>
      <c r="B438" s="710"/>
      <c r="C438" s="710"/>
      <c r="D438" s="710"/>
      <c r="E438" s="710"/>
      <c r="F438" s="710"/>
      <c r="G438" s="710"/>
      <c r="H438" s="710"/>
      <c r="I438" s="710"/>
      <c r="J438" s="710"/>
      <c r="K438" s="710"/>
      <c r="L438" s="710"/>
      <c r="M438" s="710"/>
      <c r="N438" s="710"/>
      <c r="O438" s="710"/>
      <c r="P438" s="710"/>
      <c r="Q438" s="710"/>
      <c r="R438" s="710"/>
    </row>
    <row r="439" spans="1:18">
      <c r="A439" s="716"/>
      <c r="B439" s="710"/>
      <c r="C439" s="710"/>
      <c r="D439" s="710"/>
      <c r="E439" s="710"/>
      <c r="F439" s="710"/>
      <c r="G439" s="710"/>
      <c r="H439" s="710"/>
      <c r="I439" s="710"/>
      <c r="J439" s="710"/>
      <c r="K439" s="710"/>
      <c r="L439" s="710"/>
      <c r="M439" s="710"/>
      <c r="N439" s="710"/>
      <c r="O439" s="710"/>
      <c r="P439" s="710"/>
      <c r="Q439" s="710"/>
      <c r="R439" s="710"/>
    </row>
    <row r="440" spans="1:18">
      <c r="A440" s="716"/>
      <c r="B440" s="710"/>
      <c r="C440" s="710"/>
      <c r="D440" s="710"/>
      <c r="E440" s="710"/>
      <c r="F440" s="710"/>
      <c r="G440" s="710"/>
      <c r="H440" s="710"/>
      <c r="I440" s="710"/>
      <c r="J440" s="710"/>
      <c r="K440" s="710"/>
      <c r="L440" s="710"/>
      <c r="M440" s="710"/>
      <c r="N440" s="710"/>
      <c r="O440" s="710"/>
      <c r="P440" s="710"/>
      <c r="Q440" s="710"/>
      <c r="R440" s="710"/>
    </row>
    <row r="441" spans="1:18">
      <c r="A441" s="716"/>
      <c r="B441" s="710"/>
      <c r="C441" s="710"/>
      <c r="D441" s="710"/>
      <c r="E441" s="710"/>
      <c r="F441" s="710"/>
      <c r="G441" s="710"/>
      <c r="H441" s="710"/>
      <c r="I441" s="710"/>
      <c r="J441" s="710"/>
      <c r="K441" s="710"/>
      <c r="L441" s="710"/>
      <c r="M441" s="710"/>
      <c r="N441" s="710"/>
      <c r="O441" s="710"/>
      <c r="P441" s="710"/>
      <c r="Q441" s="710"/>
      <c r="R441" s="710"/>
    </row>
    <row r="442" spans="1:18">
      <c r="A442" s="716"/>
      <c r="B442" s="710"/>
      <c r="C442" s="710"/>
      <c r="D442" s="710"/>
      <c r="E442" s="710"/>
      <c r="F442" s="710"/>
      <c r="G442" s="710"/>
      <c r="H442" s="710"/>
      <c r="I442" s="710"/>
      <c r="J442" s="710"/>
      <c r="K442" s="710"/>
      <c r="L442" s="710"/>
      <c r="M442" s="710"/>
      <c r="N442" s="710"/>
      <c r="O442" s="710"/>
      <c r="P442" s="710"/>
      <c r="Q442" s="710"/>
      <c r="R442" s="710"/>
    </row>
    <row r="443" spans="1:18">
      <c r="A443" s="716"/>
      <c r="B443" s="710"/>
      <c r="C443" s="710"/>
      <c r="D443" s="710"/>
      <c r="E443" s="710"/>
      <c r="F443" s="710"/>
      <c r="G443" s="710"/>
      <c r="H443" s="710"/>
      <c r="I443" s="710"/>
      <c r="J443" s="710"/>
      <c r="K443" s="710"/>
      <c r="L443" s="710"/>
      <c r="M443" s="710"/>
      <c r="N443" s="710"/>
      <c r="O443" s="710"/>
      <c r="P443" s="710"/>
      <c r="Q443" s="710"/>
      <c r="R443" s="710"/>
    </row>
    <row r="444" spans="1:18">
      <c r="A444" s="716"/>
      <c r="B444" s="710"/>
      <c r="C444" s="710"/>
      <c r="D444" s="710"/>
      <c r="E444" s="710"/>
      <c r="F444" s="710"/>
      <c r="G444" s="710"/>
      <c r="H444" s="710"/>
      <c r="I444" s="710"/>
      <c r="J444" s="710"/>
      <c r="K444" s="710"/>
      <c r="L444" s="710"/>
      <c r="M444" s="710"/>
      <c r="N444" s="710"/>
      <c r="O444" s="710"/>
      <c r="P444" s="710"/>
      <c r="Q444" s="710"/>
      <c r="R444" s="710"/>
    </row>
    <row r="445" spans="1:18">
      <c r="A445" s="716"/>
      <c r="B445" s="710"/>
      <c r="C445" s="710"/>
      <c r="D445" s="710"/>
      <c r="E445" s="710"/>
      <c r="F445" s="710"/>
      <c r="G445" s="710"/>
      <c r="H445" s="710"/>
      <c r="I445" s="710"/>
      <c r="J445" s="710"/>
      <c r="K445" s="710"/>
      <c r="L445" s="710"/>
      <c r="M445" s="710"/>
      <c r="N445" s="710"/>
      <c r="O445" s="710"/>
      <c r="P445" s="710"/>
      <c r="Q445" s="710"/>
      <c r="R445" s="710"/>
    </row>
    <row r="446" spans="1:18">
      <c r="A446" s="716"/>
      <c r="B446" s="710"/>
      <c r="C446" s="710"/>
      <c r="D446" s="710"/>
      <c r="E446" s="710"/>
      <c r="F446" s="710"/>
      <c r="G446" s="710"/>
      <c r="H446" s="710"/>
      <c r="I446" s="710"/>
      <c r="J446" s="710"/>
      <c r="K446" s="710"/>
      <c r="L446" s="710"/>
      <c r="M446" s="710"/>
      <c r="N446" s="710"/>
      <c r="O446" s="710"/>
      <c r="P446" s="710"/>
      <c r="Q446" s="710"/>
      <c r="R446" s="710"/>
    </row>
    <row r="447" spans="1:18">
      <c r="A447" s="716"/>
      <c r="B447" s="710"/>
      <c r="C447" s="710"/>
      <c r="D447" s="710"/>
      <c r="E447" s="710"/>
      <c r="F447" s="710"/>
      <c r="G447" s="710"/>
      <c r="H447" s="710"/>
      <c r="I447" s="710"/>
      <c r="J447" s="710"/>
      <c r="K447" s="710"/>
      <c r="L447" s="710"/>
      <c r="M447" s="710"/>
      <c r="N447" s="710"/>
      <c r="O447" s="710"/>
      <c r="P447" s="710"/>
      <c r="Q447" s="710"/>
      <c r="R447" s="710"/>
    </row>
    <row r="448" spans="1:18">
      <c r="A448" s="716"/>
      <c r="B448" s="710"/>
      <c r="C448" s="710"/>
      <c r="D448" s="710"/>
      <c r="E448" s="710"/>
      <c r="F448" s="710"/>
      <c r="G448" s="710"/>
      <c r="H448" s="710"/>
      <c r="I448" s="710"/>
      <c r="J448" s="710"/>
      <c r="K448" s="710"/>
      <c r="L448" s="710"/>
      <c r="M448" s="710"/>
      <c r="N448" s="710"/>
      <c r="O448" s="710"/>
      <c r="P448" s="710"/>
      <c r="Q448" s="710"/>
      <c r="R448" s="710"/>
    </row>
    <row r="449" spans="1:18">
      <c r="A449" s="716"/>
      <c r="B449" s="710"/>
      <c r="C449" s="710"/>
      <c r="D449" s="710"/>
      <c r="E449" s="710"/>
      <c r="F449" s="710"/>
      <c r="G449" s="710"/>
      <c r="H449" s="710"/>
      <c r="I449" s="710"/>
      <c r="J449" s="710"/>
      <c r="K449" s="710"/>
      <c r="L449" s="710"/>
      <c r="M449" s="710"/>
      <c r="N449" s="710"/>
      <c r="O449" s="710"/>
      <c r="P449" s="710"/>
      <c r="Q449" s="710"/>
      <c r="R449" s="710"/>
    </row>
    <row r="450" spans="1:18">
      <c r="A450" s="716"/>
      <c r="B450" s="710"/>
      <c r="C450" s="710"/>
      <c r="D450" s="710"/>
      <c r="E450" s="710"/>
      <c r="F450" s="710"/>
      <c r="G450" s="710"/>
      <c r="H450" s="710"/>
      <c r="I450" s="710"/>
      <c r="J450" s="710"/>
      <c r="K450" s="710"/>
      <c r="L450" s="710"/>
      <c r="M450" s="710"/>
      <c r="N450" s="710"/>
      <c r="O450" s="710"/>
      <c r="P450" s="710"/>
      <c r="Q450" s="710"/>
      <c r="R450" s="710"/>
    </row>
    <row r="451" spans="1:18">
      <c r="A451" s="716"/>
      <c r="B451" s="710"/>
      <c r="C451" s="710"/>
      <c r="D451" s="710"/>
      <c r="E451" s="710"/>
      <c r="F451" s="710"/>
      <c r="G451" s="710"/>
      <c r="H451" s="710"/>
      <c r="I451" s="710"/>
      <c r="J451" s="710"/>
      <c r="K451" s="710"/>
      <c r="L451" s="710"/>
      <c r="M451" s="710"/>
      <c r="N451" s="710"/>
      <c r="O451" s="710"/>
      <c r="P451" s="710"/>
      <c r="Q451" s="710"/>
      <c r="R451" s="710"/>
    </row>
    <row r="452" spans="1:18">
      <c r="A452" s="716"/>
      <c r="B452" s="710"/>
      <c r="C452" s="710"/>
      <c r="D452" s="710"/>
      <c r="E452" s="710"/>
      <c r="F452" s="710"/>
      <c r="G452" s="710"/>
      <c r="H452" s="710"/>
      <c r="I452" s="710"/>
      <c r="J452" s="710"/>
      <c r="K452" s="710"/>
      <c r="L452" s="710"/>
      <c r="M452" s="710"/>
      <c r="N452" s="710"/>
      <c r="O452" s="710"/>
      <c r="P452" s="710"/>
      <c r="Q452" s="710"/>
      <c r="R452" s="710"/>
    </row>
    <row r="453" spans="1:18">
      <c r="A453" s="716"/>
      <c r="B453" s="710"/>
      <c r="C453" s="710"/>
      <c r="D453" s="710"/>
      <c r="E453" s="710"/>
      <c r="F453" s="710"/>
      <c r="G453" s="710"/>
      <c r="H453" s="710"/>
      <c r="I453" s="710"/>
      <c r="J453" s="710"/>
      <c r="K453" s="710"/>
      <c r="L453" s="710"/>
      <c r="M453" s="710"/>
      <c r="N453" s="710"/>
      <c r="O453" s="710"/>
      <c r="P453" s="710"/>
      <c r="Q453" s="710"/>
      <c r="R453" s="710"/>
    </row>
    <row r="454" spans="1:18">
      <c r="A454" s="716"/>
      <c r="B454" s="710"/>
      <c r="C454" s="710"/>
      <c r="D454" s="710"/>
      <c r="E454" s="710"/>
      <c r="F454" s="710"/>
      <c r="G454" s="710"/>
      <c r="H454" s="710"/>
      <c r="I454" s="710"/>
      <c r="J454" s="710"/>
      <c r="K454" s="710"/>
      <c r="L454" s="710"/>
      <c r="M454" s="710"/>
      <c r="N454" s="710"/>
      <c r="O454" s="710"/>
      <c r="P454" s="710"/>
      <c r="Q454" s="710"/>
      <c r="R454" s="710"/>
    </row>
    <row r="455" spans="1:18">
      <c r="A455" s="716"/>
      <c r="B455" s="710"/>
      <c r="C455" s="710"/>
      <c r="D455" s="710"/>
      <c r="E455" s="710"/>
      <c r="F455" s="710"/>
      <c r="G455" s="710"/>
      <c r="H455" s="710"/>
      <c r="I455" s="710"/>
      <c r="J455" s="710"/>
      <c r="K455" s="710"/>
      <c r="L455" s="710"/>
      <c r="M455" s="710"/>
      <c r="N455" s="710"/>
      <c r="O455" s="710"/>
      <c r="P455" s="710"/>
      <c r="Q455" s="710"/>
      <c r="R455" s="710"/>
    </row>
    <row r="456" spans="1:18">
      <c r="A456" s="716"/>
      <c r="B456" s="710"/>
      <c r="C456" s="710"/>
      <c r="D456" s="710"/>
      <c r="E456" s="710"/>
      <c r="F456" s="710"/>
      <c r="G456" s="710"/>
      <c r="H456" s="710"/>
      <c r="I456" s="710"/>
      <c r="J456" s="710"/>
      <c r="K456" s="710"/>
      <c r="L456" s="710"/>
      <c r="M456" s="710"/>
      <c r="N456" s="710"/>
      <c r="O456" s="710"/>
      <c r="P456" s="710"/>
      <c r="Q456" s="710"/>
      <c r="R456" s="710"/>
    </row>
    <row r="457" spans="1:18">
      <c r="A457" s="716"/>
      <c r="B457" s="710"/>
      <c r="C457" s="710"/>
      <c r="D457" s="710"/>
      <c r="E457" s="710"/>
      <c r="F457" s="710"/>
      <c r="G457" s="710"/>
      <c r="H457" s="710"/>
      <c r="I457" s="710"/>
      <c r="J457" s="710"/>
      <c r="K457" s="710"/>
      <c r="L457" s="710"/>
      <c r="M457" s="710"/>
      <c r="N457" s="710"/>
      <c r="O457" s="710"/>
      <c r="P457" s="710"/>
      <c r="Q457" s="710"/>
      <c r="R457" s="710"/>
    </row>
    <row r="458" spans="1:18">
      <c r="A458" s="716"/>
      <c r="B458" s="710"/>
      <c r="C458" s="710"/>
      <c r="D458" s="710"/>
      <c r="E458" s="710"/>
      <c r="F458" s="710"/>
      <c r="G458" s="710"/>
      <c r="H458" s="710"/>
      <c r="I458" s="710"/>
      <c r="J458" s="710"/>
      <c r="K458" s="710"/>
      <c r="L458" s="710"/>
      <c r="M458" s="710"/>
      <c r="N458" s="710"/>
      <c r="O458" s="710"/>
      <c r="P458" s="710"/>
      <c r="Q458" s="710"/>
      <c r="R458" s="710"/>
    </row>
    <row r="459" spans="1:18">
      <c r="A459" s="716"/>
      <c r="B459" s="710"/>
      <c r="C459" s="710"/>
      <c r="D459" s="710"/>
      <c r="E459" s="710"/>
      <c r="F459" s="710"/>
      <c r="G459" s="710"/>
      <c r="H459" s="710"/>
      <c r="I459" s="710"/>
      <c r="J459" s="710"/>
      <c r="K459" s="710"/>
      <c r="L459" s="710"/>
      <c r="M459" s="710"/>
      <c r="N459" s="710"/>
      <c r="O459" s="710"/>
      <c r="P459" s="710"/>
      <c r="Q459" s="710"/>
      <c r="R459" s="710"/>
    </row>
    <row r="460" spans="1:18">
      <c r="A460" s="716"/>
      <c r="B460" s="710"/>
      <c r="C460" s="710"/>
      <c r="D460" s="710"/>
      <c r="E460" s="710"/>
      <c r="F460" s="710"/>
      <c r="G460" s="710"/>
      <c r="H460" s="710"/>
      <c r="I460" s="710"/>
      <c r="J460" s="710"/>
      <c r="K460" s="710"/>
      <c r="L460" s="710"/>
      <c r="M460" s="710"/>
      <c r="N460" s="710"/>
      <c r="O460" s="710"/>
      <c r="P460" s="710"/>
      <c r="Q460" s="710"/>
      <c r="R460" s="710"/>
    </row>
    <row r="461" spans="1:18">
      <c r="A461" s="716"/>
      <c r="B461" s="710"/>
      <c r="C461" s="710"/>
      <c r="D461" s="710"/>
      <c r="E461" s="710"/>
      <c r="F461" s="710"/>
      <c r="G461" s="710"/>
      <c r="H461" s="710"/>
      <c r="I461" s="710"/>
      <c r="J461" s="710"/>
      <c r="K461" s="710"/>
      <c r="L461" s="710"/>
      <c r="M461" s="710"/>
      <c r="N461" s="710"/>
      <c r="O461" s="710"/>
      <c r="P461" s="710"/>
      <c r="Q461" s="710"/>
      <c r="R461" s="710"/>
    </row>
    <row r="462" spans="1:18">
      <c r="A462" s="716"/>
      <c r="B462" s="710"/>
      <c r="C462" s="710"/>
      <c r="D462" s="710"/>
      <c r="E462" s="710"/>
      <c r="F462" s="710"/>
      <c r="G462" s="710"/>
      <c r="H462" s="710"/>
      <c r="I462" s="710"/>
      <c r="J462" s="710"/>
      <c r="K462" s="710"/>
      <c r="L462" s="710"/>
      <c r="M462" s="710"/>
      <c r="N462" s="710"/>
      <c r="O462" s="710"/>
      <c r="P462" s="710"/>
      <c r="Q462" s="710"/>
      <c r="R462" s="710"/>
    </row>
    <row r="463" spans="1:18">
      <c r="A463" s="716"/>
      <c r="B463" s="710"/>
      <c r="C463" s="710"/>
      <c r="D463" s="710"/>
      <c r="E463" s="710"/>
      <c r="F463" s="710"/>
      <c r="G463" s="710"/>
      <c r="H463" s="710"/>
      <c r="I463" s="710"/>
      <c r="J463" s="710"/>
      <c r="K463" s="710"/>
      <c r="L463" s="710"/>
      <c r="M463" s="710"/>
      <c r="N463" s="710"/>
      <c r="O463" s="710"/>
      <c r="P463" s="710"/>
      <c r="Q463" s="710"/>
      <c r="R463" s="710"/>
    </row>
    <row r="464" spans="1:18">
      <c r="A464" s="716"/>
      <c r="B464" s="710"/>
      <c r="C464" s="710"/>
      <c r="D464" s="710"/>
      <c r="E464" s="710"/>
      <c r="F464" s="710"/>
      <c r="G464" s="710"/>
      <c r="H464" s="710"/>
      <c r="I464" s="710"/>
      <c r="J464" s="710"/>
      <c r="K464" s="710"/>
      <c r="L464" s="710"/>
      <c r="M464" s="710"/>
      <c r="N464" s="710"/>
      <c r="O464" s="710"/>
      <c r="P464" s="710"/>
      <c r="Q464" s="710"/>
      <c r="R464" s="710"/>
    </row>
    <row r="465" spans="1:18">
      <c r="A465" s="716"/>
      <c r="B465" s="710"/>
      <c r="C465" s="710"/>
      <c r="D465" s="710"/>
      <c r="E465" s="710"/>
      <c r="F465" s="710"/>
      <c r="G465" s="710"/>
      <c r="H465" s="710"/>
      <c r="I465" s="710"/>
      <c r="J465" s="710"/>
      <c r="K465" s="710"/>
      <c r="L465" s="710"/>
      <c r="M465" s="710"/>
      <c r="N465" s="710"/>
      <c r="O465" s="710"/>
      <c r="P465" s="710"/>
      <c r="Q465" s="710"/>
      <c r="R465" s="710"/>
    </row>
    <row r="466" spans="1:18">
      <c r="A466" s="716"/>
      <c r="B466" s="710"/>
      <c r="C466" s="710"/>
      <c r="D466" s="710"/>
      <c r="E466" s="710"/>
      <c r="F466" s="710"/>
      <c r="G466" s="710"/>
      <c r="H466" s="710"/>
      <c r="I466" s="710"/>
      <c r="J466" s="710"/>
      <c r="K466" s="710"/>
      <c r="L466" s="710"/>
      <c r="M466" s="710"/>
      <c r="N466" s="710"/>
      <c r="O466" s="710"/>
      <c r="P466" s="710"/>
      <c r="Q466" s="710"/>
      <c r="R466" s="710"/>
    </row>
    <row r="467" spans="1:18">
      <c r="A467" s="716"/>
      <c r="B467" s="710"/>
      <c r="C467" s="710"/>
      <c r="D467" s="710"/>
      <c r="E467" s="710"/>
      <c r="F467" s="710"/>
      <c r="G467" s="710"/>
      <c r="H467" s="710"/>
      <c r="I467" s="710"/>
      <c r="J467" s="710"/>
      <c r="K467" s="710"/>
      <c r="L467" s="710"/>
      <c r="M467" s="710"/>
      <c r="N467" s="710"/>
      <c r="O467" s="710"/>
      <c r="P467" s="710"/>
      <c r="Q467" s="710"/>
      <c r="R467" s="710"/>
    </row>
    <row r="468" spans="1:18">
      <c r="A468" s="716"/>
      <c r="B468" s="710"/>
      <c r="C468" s="710"/>
      <c r="D468" s="710"/>
      <c r="E468" s="710"/>
      <c r="F468" s="710"/>
      <c r="G468" s="710"/>
      <c r="H468" s="710"/>
      <c r="I468" s="710"/>
      <c r="J468" s="710"/>
      <c r="K468" s="710"/>
      <c r="L468" s="710"/>
      <c r="M468" s="710"/>
      <c r="N468" s="710"/>
      <c r="O468" s="710"/>
      <c r="P468" s="710"/>
      <c r="Q468" s="710"/>
      <c r="R468" s="710"/>
    </row>
    <row r="469" spans="1:18">
      <c r="A469" s="716"/>
      <c r="B469" s="710"/>
      <c r="C469" s="710"/>
      <c r="D469" s="710"/>
      <c r="E469" s="710"/>
      <c r="F469" s="710"/>
      <c r="G469" s="710"/>
      <c r="H469" s="710"/>
      <c r="I469" s="710"/>
      <c r="J469" s="710"/>
      <c r="K469" s="710"/>
      <c r="L469" s="710"/>
      <c r="M469" s="710"/>
      <c r="N469" s="710"/>
      <c r="O469" s="710"/>
      <c r="P469" s="710"/>
      <c r="Q469" s="710"/>
      <c r="R469" s="710"/>
    </row>
    <row r="470" spans="1:18">
      <c r="A470" s="716"/>
      <c r="B470" s="710"/>
      <c r="C470" s="710"/>
      <c r="D470" s="710"/>
      <c r="E470" s="710"/>
      <c r="F470" s="710"/>
      <c r="G470" s="710"/>
      <c r="H470" s="710"/>
      <c r="I470" s="710"/>
      <c r="J470" s="710"/>
      <c r="K470" s="710"/>
      <c r="L470" s="710"/>
      <c r="M470" s="710"/>
      <c r="N470" s="710"/>
      <c r="O470" s="710"/>
      <c r="P470" s="710"/>
      <c r="Q470" s="710"/>
      <c r="R470" s="710"/>
    </row>
    <row r="471" spans="1:18">
      <c r="A471" s="716"/>
      <c r="B471" s="710"/>
      <c r="C471" s="710"/>
      <c r="D471" s="710"/>
      <c r="E471" s="710"/>
      <c r="F471" s="710"/>
      <c r="G471" s="710"/>
      <c r="H471" s="710"/>
      <c r="I471" s="710"/>
      <c r="J471" s="710"/>
      <c r="K471" s="710"/>
      <c r="L471" s="710"/>
      <c r="M471" s="710"/>
      <c r="N471" s="710"/>
      <c r="O471" s="710"/>
      <c r="P471" s="710"/>
      <c r="Q471" s="710"/>
      <c r="R471" s="710"/>
    </row>
    <row r="472" spans="1:18">
      <c r="A472" s="716"/>
      <c r="B472" s="710"/>
      <c r="C472" s="710"/>
      <c r="D472" s="710"/>
      <c r="E472" s="710"/>
      <c r="F472" s="710"/>
      <c r="G472" s="710"/>
      <c r="H472" s="710"/>
      <c r="I472" s="710"/>
      <c r="J472" s="710"/>
      <c r="K472" s="710"/>
      <c r="L472" s="710"/>
      <c r="M472" s="710"/>
      <c r="N472" s="710"/>
      <c r="O472" s="710"/>
      <c r="P472" s="710"/>
      <c r="Q472" s="710"/>
      <c r="R472" s="710"/>
    </row>
    <row r="473" spans="1:18">
      <c r="A473" s="716"/>
      <c r="B473" s="710"/>
      <c r="C473" s="710"/>
      <c r="D473" s="710"/>
      <c r="E473" s="710"/>
      <c r="F473" s="710"/>
      <c r="G473" s="710"/>
      <c r="H473" s="710"/>
      <c r="I473" s="710"/>
      <c r="J473" s="710"/>
      <c r="K473" s="710"/>
      <c r="L473" s="710"/>
      <c r="M473" s="710"/>
      <c r="N473" s="710"/>
      <c r="O473" s="710"/>
      <c r="P473" s="710"/>
      <c r="Q473" s="710"/>
      <c r="R473" s="710"/>
    </row>
    <row r="474" spans="1:18">
      <c r="A474" s="716"/>
      <c r="B474" s="710"/>
      <c r="C474" s="710"/>
      <c r="D474" s="710"/>
      <c r="E474" s="710"/>
      <c r="F474" s="710"/>
      <c r="G474" s="710"/>
      <c r="H474" s="710"/>
      <c r="I474" s="710"/>
      <c r="J474" s="710"/>
      <c r="K474" s="710"/>
      <c r="L474" s="710"/>
      <c r="M474" s="710"/>
      <c r="N474" s="710"/>
      <c r="O474" s="710"/>
      <c r="P474" s="710"/>
      <c r="Q474" s="710"/>
      <c r="R474" s="710"/>
    </row>
    <row r="475" spans="1:18">
      <c r="A475" s="716"/>
      <c r="B475" s="710"/>
      <c r="C475" s="710"/>
      <c r="D475" s="710"/>
      <c r="E475" s="710"/>
      <c r="F475" s="710"/>
      <c r="G475" s="710"/>
      <c r="H475" s="710"/>
      <c r="I475" s="710"/>
      <c r="J475" s="710"/>
      <c r="K475" s="710"/>
      <c r="L475" s="710"/>
      <c r="M475" s="710"/>
      <c r="N475" s="710"/>
      <c r="O475" s="710"/>
      <c r="P475" s="710"/>
      <c r="Q475" s="710"/>
      <c r="R475" s="710"/>
    </row>
    <row r="476" spans="1:18">
      <c r="A476" s="716"/>
      <c r="B476" s="710"/>
      <c r="C476" s="710"/>
      <c r="D476" s="710"/>
      <c r="E476" s="710"/>
      <c r="F476" s="710"/>
      <c r="G476" s="710"/>
      <c r="H476" s="710"/>
      <c r="I476" s="710"/>
      <c r="J476" s="710"/>
      <c r="K476" s="710"/>
      <c r="L476" s="710"/>
      <c r="M476" s="710"/>
      <c r="N476" s="710"/>
      <c r="O476" s="710"/>
      <c r="P476" s="710"/>
      <c r="Q476" s="710"/>
      <c r="R476" s="710"/>
    </row>
    <row r="477" spans="1:18">
      <c r="A477" s="716"/>
      <c r="B477" s="710"/>
      <c r="C477" s="710"/>
      <c r="D477" s="710"/>
      <c r="E477" s="710"/>
      <c r="F477" s="710"/>
      <c r="G477" s="710"/>
      <c r="H477" s="710"/>
      <c r="I477" s="710"/>
      <c r="J477" s="710"/>
      <c r="K477" s="710"/>
      <c r="L477" s="710"/>
      <c r="M477" s="710"/>
      <c r="N477" s="710"/>
      <c r="O477" s="710"/>
      <c r="P477" s="710"/>
      <c r="Q477" s="710"/>
      <c r="R477" s="710"/>
    </row>
    <row r="478" spans="1:18">
      <c r="A478" s="716"/>
      <c r="B478" s="710"/>
      <c r="C478" s="710"/>
      <c r="D478" s="710"/>
      <c r="E478" s="710"/>
      <c r="F478" s="710"/>
      <c r="G478" s="710"/>
      <c r="H478" s="710"/>
      <c r="I478" s="710"/>
      <c r="J478" s="710"/>
      <c r="K478" s="710"/>
      <c r="L478" s="710"/>
      <c r="M478" s="710"/>
      <c r="N478" s="710"/>
      <c r="O478" s="710"/>
      <c r="P478" s="710"/>
      <c r="Q478" s="710"/>
      <c r="R478" s="710"/>
    </row>
    <row r="479" spans="1:18">
      <c r="A479" s="716"/>
      <c r="B479" s="710"/>
      <c r="C479" s="710"/>
      <c r="D479" s="710"/>
      <c r="E479" s="710"/>
      <c r="F479" s="710"/>
      <c r="G479" s="710"/>
      <c r="H479" s="710"/>
      <c r="I479" s="710"/>
      <c r="J479" s="710"/>
      <c r="K479" s="710"/>
      <c r="L479" s="710"/>
      <c r="M479" s="710"/>
      <c r="N479" s="710"/>
      <c r="O479" s="710"/>
      <c r="P479" s="710"/>
      <c r="Q479" s="710"/>
      <c r="R479" s="710"/>
    </row>
    <row r="480" spans="1:18">
      <c r="A480" s="716"/>
      <c r="B480" s="710"/>
      <c r="C480" s="710"/>
      <c r="D480" s="710"/>
      <c r="E480" s="710"/>
      <c r="F480" s="710"/>
      <c r="G480" s="710"/>
      <c r="H480" s="710"/>
      <c r="I480" s="710"/>
      <c r="J480" s="710"/>
      <c r="K480" s="710"/>
      <c r="L480" s="710"/>
      <c r="M480" s="710"/>
      <c r="N480" s="710"/>
      <c r="O480" s="710"/>
      <c r="P480" s="710"/>
      <c r="Q480" s="710"/>
      <c r="R480" s="710"/>
    </row>
    <row r="481" spans="1:18">
      <c r="A481" s="716"/>
      <c r="B481" s="710"/>
      <c r="C481" s="710"/>
      <c r="D481" s="710"/>
      <c r="E481" s="710"/>
      <c r="F481" s="710"/>
      <c r="G481" s="710"/>
      <c r="H481" s="710"/>
      <c r="I481" s="710"/>
      <c r="J481" s="710"/>
      <c r="K481" s="710"/>
      <c r="L481" s="710"/>
      <c r="M481" s="710"/>
      <c r="N481" s="710"/>
      <c r="O481" s="710"/>
      <c r="P481" s="710"/>
      <c r="Q481" s="710"/>
      <c r="R481" s="710"/>
    </row>
    <row r="482" spans="1:18">
      <c r="A482" s="716"/>
      <c r="B482" s="710"/>
      <c r="C482" s="710"/>
      <c r="D482" s="710"/>
      <c r="E482" s="710"/>
      <c r="F482" s="710"/>
      <c r="G482" s="710"/>
      <c r="H482" s="710"/>
      <c r="I482" s="710"/>
      <c r="J482" s="710"/>
      <c r="K482" s="710"/>
      <c r="L482" s="710"/>
      <c r="M482" s="710"/>
      <c r="N482" s="710"/>
      <c r="O482" s="710"/>
      <c r="P482" s="710"/>
      <c r="Q482" s="710"/>
      <c r="R482" s="710"/>
    </row>
    <row r="483" spans="1:18">
      <c r="A483" s="716"/>
      <c r="B483" s="710"/>
      <c r="C483" s="710"/>
      <c r="D483" s="710"/>
      <c r="E483" s="710"/>
      <c r="F483" s="710"/>
      <c r="G483" s="710"/>
      <c r="H483" s="710"/>
      <c r="I483" s="710"/>
      <c r="J483" s="710"/>
      <c r="K483" s="710"/>
      <c r="L483" s="710"/>
      <c r="M483" s="710"/>
      <c r="N483" s="710"/>
      <c r="O483" s="710"/>
      <c r="P483" s="710"/>
      <c r="Q483" s="710"/>
      <c r="R483" s="710"/>
    </row>
    <row r="484" spans="1:18">
      <c r="A484" s="716"/>
      <c r="B484" s="710"/>
      <c r="C484" s="710"/>
      <c r="D484" s="710"/>
      <c r="E484" s="710"/>
      <c r="F484" s="710"/>
      <c r="G484" s="710"/>
      <c r="H484" s="710"/>
      <c r="I484" s="710"/>
      <c r="J484" s="710"/>
      <c r="K484" s="710"/>
      <c r="L484" s="710"/>
      <c r="M484" s="710"/>
      <c r="N484" s="710"/>
      <c r="O484" s="710"/>
      <c r="P484" s="710"/>
      <c r="Q484" s="710"/>
      <c r="R484" s="710"/>
    </row>
    <row r="485" spans="1:18">
      <c r="A485" s="716"/>
      <c r="B485" s="710"/>
      <c r="C485" s="710"/>
      <c r="D485" s="710"/>
      <c r="E485" s="710"/>
      <c r="F485" s="710"/>
      <c r="G485" s="710"/>
      <c r="H485" s="710"/>
      <c r="I485" s="710"/>
      <c r="J485" s="710"/>
      <c r="K485" s="710"/>
      <c r="L485" s="710"/>
      <c r="M485" s="710"/>
      <c r="N485" s="710"/>
      <c r="O485" s="710"/>
      <c r="P485" s="710"/>
      <c r="Q485" s="710"/>
      <c r="R485" s="710"/>
    </row>
    <row r="486" spans="1:18">
      <c r="A486" s="716"/>
      <c r="B486" s="710"/>
      <c r="C486" s="710"/>
      <c r="D486" s="710"/>
      <c r="E486" s="710"/>
      <c r="F486" s="710"/>
      <c r="G486" s="710"/>
      <c r="H486" s="710"/>
      <c r="I486" s="710"/>
      <c r="J486" s="710"/>
      <c r="K486" s="710"/>
      <c r="L486" s="710"/>
      <c r="M486" s="710"/>
      <c r="N486" s="710"/>
      <c r="O486" s="710"/>
      <c r="P486" s="710"/>
      <c r="Q486" s="710"/>
      <c r="R486" s="710"/>
    </row>
    <row r="487" spans="1:18">
      <c r="A487" s="716"/>
      <c r="B487" s="710"/>
      <c r="C487" s="710"/>
      <c r="D487" s="710"/>
      <c r="E487" s="710"/>
      <c r="F487" s="710"/>
      <c r="G487" s="710"/>
      <c r="H487" s="710"/>
      <c r="I487" s="710"/>
      <c r="J487" s="710"/>
      <c r="K487" s="710"/>
      <c r="L487" s="710"/>
      <c r="M487" s="710"/>
      <c r="N487" s="710"/>
      <c r="O487" s="710"/>
      <c r="P487" s="710"/>
      <c r="Q487" s="710"/>
      <c r="R487" s="710"/>
    </row>
    <row r="488" spans="1:18">
      <c r="A488" s="716"/>
      <c r="B488" s="710"/>
      <c r="C488" s="710"/>
      <c r="D488" s="710"/>
      <c r="E488" s="710"/>
      <c r="F488" s="710"/>
      <c r="G488" s="710"/>
      <c r="H488" s="710"/>
      <c r="I488" s="710"/>
      <c r="J488" s="710"/>
      <c r="K488" s="710"/>
      <c r="L488" s="710"/>
      <c r="M488" s="710"/>
      <c r="N488" s="710"/>
      <c r="O488" s="710"/>
      <c r="P488" s="710"/>
      <c r="Q488" s="710"/>
      <c r="R488" s="710"/>
    </row>
    <row r="489" spans="1:18">
      <c r="A489" s="716"/>
      <c r="B489" s="710"/>
      <c r="C489" s="710"/>
      <c r="D489" s="710"/>
      <c r="E489" s="710"/>
      <c r="F489" s="710"/>
      <c r="G489" s="710"/>
      <c r="H489" s="710"/>
      <c r="I489" s="710"/>
      <c r="J489" s="710"/>
      <c r="K489" s="710"/>
      <c r="L489" s="710"/>
      <c r="M489" s="710"/>
      <c r="N489" s="710"/>
      <c r="O489" s="710"/>
      <c r="P489" s="710"/>
      <c r="Q489" s="710"/>
      <c r="R489" s="710"/>
    </row>
    <row r="490" spans="1:18">
      <c r="A490" s="716"/>
      <c r="B490" s="710"/>
      <c r="C490" s="710"/>
      <c r="D490" s="710"/>
      <c r="E490" s="710"/>
      <c r="F490" s="710"/>
      <c r="G490" s="710"/>
      <c r="H490" s="710"/>
      <c r="I490" s="710"/>
      <c r="J490" s="710"/>
      <c r="K490" s="710"/>
      <c r="L490" s="710"/>
      <c r="M490" s="710"/>
      <c r="N490" s="710"/>
      <c r="O490" s="710"/>
      <c r="P490" s="710"/>
      <c r="Q490" s="710"/>
      <c r="R490" s="710"/>
    </row>
    <row r="491" spans="1:18">
      <c r="A491" s="716"/>
      <c r="B491" s="710"/>
      <c r="C491" s="710"/>
      <c r="D491" s="710"/>
      <c r="E491" s="710"/>
      <c r="F491" s="710"/>
      <c r="G491" s="710"/>
      <c r="H491" s="710"/>
      <c r="I491" s="710"/>
      <c r="J491" s="710"/>
      <c r="K491" s="710"/>
      <c r="L491" s="710"/>
      <c r="M491" s="710"/>
      <c r="N491" s="710"/>
      <c r="O491" s="710"/>
      <c r="P491" s="710"/>
      <c r="Q491" s="710"/>
      <c r="R491" s="710"/>
    </row>
    <row r="492" spans="1:18">
      <c r="A492" s="716"/>
      <c r="B492" s="710"/>
      <c r="C492" s="710"/>
      <c r="D492" s="710"/>
      <c r="E492" s="710"/>
      <c r="F492" s="710"/>
      <c r="G492" s="710"/>
      <c r="H492" s="710"/>
      <c r="I492" s="710"/>
      <c r="J492" s="710"/>
      <c r="K492" s="710"/>
      <c r="L492" s="710"/>
      <c r="M492" s="710"/>
      <c r="N492" s="710"/>
      <c r="O492" s="710"/>
      <c r="P492" s="710"/>
      <c r="Q492" s="710"/>
      <c r="R492" s="710"/>
    </row>
    <row r="493" spans="1:18">
      <c r="A493" s="716"/>
      <c r="B493" s="710"/>
      <c r="C493" s="710"/>
      <c r="D493" s="710"/>
      <c r="E493" s="710"/>
      <c r="F493" s="710"/>
      <c r="G493" s="710"/>
      <c r="H493" s="710"/>
      <c r="I493" s="710"/>
      <c r="J493" s="710"/>
      <c r="K493" s="710"/>
      <c r="L493" s="710"/>
      <c r="M493" s="710"/>
      <c r="N493" s="710"/>
      <c r="O493" s="710"/>
      <c r="P493" s="710"/>
      <c r="Q493" s="710"/>
      <c r="R493" s="710"/>
    </row>
    <row r="494" spans="1:18">
      <c r="A494" s="716"/>
      <c r="B494" s="710"/>
      <c r="C494" s="710"/>
      <c r="D494" s="710"/>
      <c r="E494" s="710"/>
      <c r="F494" s="710"/>
      <c r="G494" s="710"/>
      <c r="H494" s="710"/>
      <c r="I494" s="710"/>
      <c r="J494" s="710"/>
      <c r="K494" s="710"/>
      <c r="L494" s="710"/>
      <c r="M494" s="710"/>
      <c r="N494" s="710"/>
      <c r="O494" s="710"/>
      <c r="P494" s="710"/>
      <c r="Q494" s="710"/>
      <c r="R494" s="710"/>
    </row>
    <row r="495" spans="1:18">
      <c r="A495" s="716"/>
      <c r="B495" s="710"/>
      <c r="C495" s="710"/>
      <c r="D495" s="710"/>
      <c r="E495" s="710"/>
      <c r="F495" s="710"/>
      <c r="G495" s="710"/>
      <c r="H495" s="710"/>
      <c r="I495" s="710"/>
      <c r="J495" s="710"/>
      <c r="K495" s="710"/>
      <c r="L495" s="710"/>
      <c r="M495" s="710"/>
      <c r="N495" s="710"/>
      <c r="O495" s="710"/>
      <c r="P495" s="710"/>
      <c r="Q495" s="710"/>
      <c r="R495" s="710"/>
    </row>
    <row r="496" spans="1:18">
      <c r="A496" s="716"/>
      <c r="B496" s="710"/>
      <c r="C496" s="710"/>
      <c r="D496" s="710"/>
      <c r="E496" s="710"/>
      <c r="F496" s="710"/>
      <c r="G496" s="710"/>
      <c r="H496" s="710"/>
      <c r="I496" s="710"/>
      <c r="J496" s="710"/>
      <c r="K496" s="710"/>
      <c r="L496" s="710"/>
      <c r="M496" s="710"/>
      <c r="N496" s="710"/>
      <c r="O496" s="710"/>
      <c r="P496" s="710"/>
      <c r="Q496" s="710"/>
      <c r="R496" s="710"/>
    </row>
    <row r="497" spans="1:18">
      <c r="A497" s="716"/>
      <c r="B497" s="710"/>
      <c r="C497" s="710"/>
      <c r="D497" s="710"/>
      <c r="E497" s="710"/>
      <c r="F497" s="710"/>
      <c r="G497" s="710"/>
      <c r="H497" s="710"/>
      <c r="I497" s="710"/>
      <c r="J497" s="710"/>
      <c r="K497" s="710"/>
      <c r="L497" s="710"/>
      <c r="M497" s="710"/>
      <c r="N497" s="710"/>
      <c r="O497" s="710"/>
      <c r="P497" s="710"/>
      <c r="Q497" s="710"/>
      <c r="R497" s="710"/>
    </row>
    <row r="498" spans="1:18">
      <c r="A498" s="716"/>
      <c r="B498" s="710"/>
      <c r="C498" s="710"/>
      <c r="D498" s="710"/>
      <c r="E498" s="710"/>
      <c r="F498" s="710"/>
      <c r="G498" s="710"/>
      <c r="H498" s="710"/>
      <c r="I498" s="710"/>
      <c r="J498" s="710"/>
      <c r="K498" s="710"/>
      <c r="L498" s="710"/>
      <c r="M498" s="710"/>
      <c r="N498" s="710"/>
      <c r="O498" s="710"/>
      <c r="P498" s="710"/>
      <c r="Q498" s="710"/>
      <c r="R498" s="710"/>
    </row>
    <row r="499" spans="1:18">
      <c r="A499" s="716"/>
      <c r="B499" s="710"/>
      <c r="C499" s="710"/>
      <c r="D499" s="710"/>
      <c r="E499" s="710"/>
      <c r="F499" s="710"/>
      <c r="G499" s="710"/>
      <c r="H499" s="710"/>
      <c r="I499" s="710"/>
      <c r="J499" s="710"/>
      <c r="K499" s="710"/>
      <c r="L499" s="710"/>
      <c r="M499" s="710"/>
      <c r="N499" s="710"/>
      <c r="O499" s="710"/>
      <c r="P499" s="710"/>
      <c r="Q499" s="710"/>
      <c r="R499" s="710"/>
    </row>
    <row r="500" spans="1:18">
      <c r="A500" s="716"/>
      <c r="B500" s="710"/>
      <c r="C500" s="710"/>
      <c r="D500" s="710"/>
      <c r="E500" s="710"/>
      <c r="F500" s="710"/>
      <c r="G500" s="710"/>
      <c r="H500" s="710"/>
      <c r="I500" s="710"/>
      <c r="J500" s="710"/>
      <c r="K500" s="710"/>
      <c r="L500" s="710"/>
      <c r="M500" s="710"/>
      <c r="N500" s="710"/>
      <c r="O500" s="710"/>
      <c r="P500" s="710"/>
      <c r="Q500" s="710"/>
      <c r="R500" s="710"/>
    </row>
    <row r="501" spans="1:18">
      <c r="A501" s="716"/>
      <c r="B501" s="710"/>
      <c r="C501" s="710"/>
      <c r="D501" s="710"/>
      <c r="E501" s="710"/>
      <c r="F501" s="710"/>
      <c r="G501" s="710"/>
      <c r="H501" s="710"/>
      <c r="I501" s="710"/>
      <c r="J501" s="710"/>
      <c r="K501" s="710"/>
      <c r="L501" s="710"/>
      <c r="M501" s="710"/>
      <c r="N501" s="710"/>
      <c r="O501" s="710"/>
      <c r="P501" s="710"/>
      <c r="Q501" s="710"/>
      <c r="R501" s="710"/>
    </row>
    <row r="502" spans="1:18">
      <c r="A502" s="716"/>
      <c r="B502" s="710"/>
      <c r="C502" s="710"/>
      <c r="D502" s="710"/>
      <c r="E502" s="710"/>
      <c r="F502" s="710"/>
      <c r="G502" s="710"/>
      <c r="H502" s="710"/>
      <c r="I502" s="710"/>
      <c r="J502" s="710"/>
      <c r="K502" s="710"/>
      <c r="L502" s="710"/>
      <c r="M502" s="710"/>
      <c r="N502" s="710"/>
      <c r="O502" s="710"/>
      <c r="P502" s="710"/>
      <c r="Q502" s="710"/>
      <c r="R502" s="710"/>
    </row>
    <row r="503" spans="1:18">
      <c r="A503" s="716"/>
      <c r="B503" s="710"/>
      <c r="C503" s="710"/>
      <c r="D503" s="710"/>
      <c r="E503" s="710"/>
      <c r="F503" s="710"/>
      <c r="G503" s="710"/>
      <c r="H503" s="710"/>
      <c r="I503" s="710"/>
      <c r="J503" s="710"/>
      <c r="K503" s="710"/>
      <c r="L503" s="710"/>
      <c r="M503" s="710"/>
      <c r="N503" s="710"/>
      <c r="O503" s="710"/>
      <c r="P503" s="710"/>
      <c r="Q503" s="710"/>
      <c r="R503" s="710"/>
    </row>
    <row r="504" spans="1:18">
      <c r="A504" s="716"/>
      <c r="B504" s="710"/>
      <c r="C504" s="710"/>
      <c r="D504" s="710"/>
      <c r="E504" s="710"/>
      <c r="F504" s="710"/>
      <c r="G504" s="710"/>
      <c r="H504" s="710"/>
      <c r="I504" s="710"/>
      <c r="J504" s="710"/>
      <c r="K504" s="710"/>
      <c r="L504" s="710"/>
      <c r="M504" s="710"/>
      <c r="N504" s="710"/>
      <c r="O504" s="710"/>
      <c r="P504" s="710"/>
      <c r="Q504" s="710"/>
      <c r="R504" s="710"/>
    </row>
    <row r="505" spans="1:18">
      <c r="A505" s="716"/>
      <c r="B505" s="710"/>
      <c r="C505" s="710"/>
      <c r="D505" s="710"/>
      <c r="E505" s="710"/>
      <c r="F505" s="710"/>
      <c r="G505" s="710"/>
      <c r="H505" s="710"/>
      <c r="I505" s="710"/>
      <c r="J505" s="710"/>
      <c r="K505" s="710"/>
      <c r="L505" s="710"/>
      <c r="M505" s="710"/>
      <c r="N505" s="710"/>
      <c r="O505" s="710"/>
      <c r="P505" s="710"/>
      <c r="Q505" s="710"/>
      <c r="R505" s="710"/>
    </row>
    <row r="506" spans="1:18">
      <c r="A506" s="716"/>
      <c r="B506" s="710"/>
      <c r="C506" s="710"/>
      <c r="D506" s="710"/>
      <c r="E506" s="710"/>
      <c r="F506" s="710"/>
      <c r="G506" s="710"/>
      <c r="H506" s="710"/>
      <c r="I506" s="710"/>
      <c r="J506" s="710"/>
      <c r="K506" s="710"/>
      <c r="L506" s="710"/>
      <c r="M506" s="710"/>
      <c r="N506" s="710"/>
      <c r="O506" s="710"/>
      <c r="P506" s="710"/>
      <c r="Q506" s="710"/>
      <c r="R506" s="710"/>
    </row>
    <row r="507" spans="1:18">
      <c r="A507" s="716"/>
      <c r="B507" s="710"/>
      <c r="C507" s="710"/>
      <c r="D507" s="710"/>
      <c r="E507" s="710"/>
      <c r="F507" s="710"/>
      <c r="G507" s="710"/>
      <c r="H507" s="710"/>
      <c r="I507" s="710"/>
      <c r="J507" s="710"/>
      <c r="K507" s="710"/>
      <c r="L507" s="710"/>
      <c r="M507" s="710"/>
      <c r="N507" s="710"/>
      <c r="O507" s="710"/>
      <c r="P507" s="710"/>
      <c r="Q507" s="710"/>
      <c r="R507" s="710"/>
    </row>
    <row r="508" spans="1:18">
      <c r="A508" s="716"/>
      <c r="B508" s="710"/>
      <c r="C508" s="710"/>
      <c r="D508" s="710"/>
      <c r="E508" s="710"/>
      <c r="F508" s="710"/>
      <c r="G508" s="710"/>
      <c r="H508" s="710"/>
      <c r="I508" s="710"/>
      <c r="J508" s="710"/>
      <c r="K508" s="710"/>
      <c r="L508" s="710"/>
      <c r="M508" s="710"/>
      <c r="N508" s="710"/>
      <c r="O508" s="710"/>
      <c r="P508" s="710"/>
      <c r="Q508" s="710"/>
      <c r="R508" s="710"/>
    </row>
    <row r="509" spans="1:18">
      <c r="A509" s="716"/>
      <c r="B509" s="710"/>
      <c r="C509" s="710"/>
      <c r="D509" s="710"/>
      <c r="E509" s="710"/>
      <c r="F509" s="710"/>
      <c r="G509" s="710"/>
      <c r="H509" s="710"/>
      <c r="I509" s="710"/>
      <c r="J509" s="710"/>
      <c r="K509" s="710"/>
      <c r="L509" s="710"/>
      <c r="M509" s="710"/>
      <c r="N509" s="710"/>
      <c r="O509" s="710"/>
      <c r="P509" s="710"/>
      <c r="Q509" s="710"/>
      <c r="R509" s="710"/>
    </row>
    <row r="510" spans="1:18">
      <c r="A510" s="716"/>
      <c r="B510" s="710"/>
      <c r="C510" s="710"/>
      <c r="D510" s="710"/>
      <c r="E510" s="710"/>
      <c r="F510" s="710"/>
      <c r="G510" s="710"/>
      <c r="H510" s="710"/>
      <c r="I510" s="710"/>
      <c r="J510" s="710"/>
      <c r="K510" s="710"/>
      <c r="L510" s="710"/>
      <c r="M510" s="710"/>
      <c r="N510" s="710"/>
      <c r="O510" s="710"/>
      <c r="P510" s="710"/>
      <c r="Q510" s="710"/>
      <c r="R510" s="710"/>
    </row>
    <row r="511" spans="1:18">
      <c r="A511" s="716"/>
      <c r="B511" s="710"/>
      <c r="C511" s="710"/>
      <c r="D511" s="710"/>
      <c r="E511" s="710"/>
      <c r="F511" s="710"/>
      <c r="G511" s="710"/>
      <c r="H511" s="710"/>
      <c r="I511" s="710"/>
      <c r="J511" s="710"/>
      <c r="K511" s="710"/>
      <c r="L511" s="710"/>
      <c r="M511" s="710"/>
      <c r="N511" s="710"/>
      <c r="O511" s="710"/>
      <c r="P511" s="710"/>
      <c r="Q511" s="710"/>
      <c r="R511" s="710"/>
    </row>
    <row r="512" spans="1:18">
      <c r="A512" s="716"/>
      <c r="B512" s="710"/>
      <c r="C512" s="710"/>
      <c r="D512" s="710"/>
      <c r="E512" s="710"/>
      <c r="F512" s="710"/>
      <c r="G512" s="710"/>
      <c r="H512" s="710"/>
      <c r="I512" s="710"/>
      <c r="J512" s="710"/>
      <c r="K512" s="710"/>
      <c r="L512" s="710"/>
      <c r="M512" s="710"/>
      <c r="N512" s="710"/>
      <c r="O512" s="710"/>
      <c r="P512" s="710"/>
      <c r="Q512" s="710"/>
      <c r="R512" s="710"/>
    </row>
    <row r="513" spans="1:18">
      <c r="A513" s="716"/>
      <c r="B513" s="710"/>
      <c r="C513" s="710"/>
      <c r="D513" s="710"/>
      <c r="E513" s="710"/>
      <c r="F513" s="710"/>
      <c r="G513" s="710"/>
      <c r="H513" s="710"/>
      <c r="I513" s="710"/>
      <c r="J513" s="710"/>
      <c r="K513" s="710"/>
      <c r="L513" s="710"/>
      <c r="M513" s="710"/>
      <c r="N513" s="710"/>
      <c r="O513" s="710"/>
      <c r="P513" s="710"/>
      <c r="Q513" s="710"/>
      <c r="R513" s="710"/>
    </row>
    <row r="514" spans="1:18">
      <c r="A514" s="716"/>
      <c r="B514" s="710"/>
      <c r="C514" s="710"/>
      <c r="D514" s="710"/>
      <c r="E514" s="710"/>
      <c r="F514" s="710"/>
      <c r="G514" s="710"/>
      <c r="H514" s="710"/>
      <c r="I514" s="710"/>
      <c r="J514" s="710"/>
      <c r="K514" s="710"/>
      <c r="L514" s="710"/>
      <c r="M514" s="710"/>
      <c r="N514" s="710"/>
      <c r="O514" s="710"/>
      <c r="P514" s="710"/>
      <c r="Q514" s="710"/>
      <c r="R514" s="710"/>
    </row>
    <row r="515" spans="1:18">
      <c r="A515" s="716"/>
      <c r="B515" s="710"/>
      <c r="C515" s="710"/>
      <c r="D515" s="710"/>
      <c r="E515" s="710"/>
      <c r="F515" s="710"/>
      <c r="G515" s="710"/>
      <c r="H515" s="710"/>
      <c r="I515" s="710"/>
      <c r="J515" s="710"/>
      <c r="K515" s="710"/>
      <c r="L515" s="710"/>
      <c r="M515" s="710"/>
      <c r="N515" s="710"/>
      <c r="O515" s="710"/>
      <c r="P515" s="710"/>
      <c r="Q515" s="710"/>
      <c r="R515" s="710"/>
    </row>
    <row r="516" spans="1:18">
      <c r="A516" s="716"/>
      <c r="B516" s="710"/>
      <c r="C516" s="710"/>
      <c r="D516" s="710"/>
      <c r="E516" s="710"/>
      <c r="F516" s="710"/>
      <c r="G516" s="710"/>
      <c r="H516" s="710"/>
      <c r="I516" s="710"/>
      <c r="J516" s="710"/>
      <c r="K516" s="710"/>
      <c r="L516" s="710"/>
      <c r="M516" s="710"/>
      <c r="N516" s="710"/>
      <c r="O516" s="710"/>
      <c r="P516" s="710"/>
      <c r="Q516" s="710"/>
      <c r="R516" s="710"/>
    </row>
    <row r="517" spans="1:18">
      <c r="A517" s="716"/>
      <c r="B517" s="710"/>
      <c r="C517" s="710"/>
      <c r="D517" s="710"/>
      <c r="E517" s="710"/>
      <c r="F517" s="710"/>
      <c r="G517" s="710"/>
      <c r="H517" s="710"/>
      <c r="I517" s="710"/>
      <c r="J517" s="710"/>
      <c r="K517" s="710"/>
      <c r="L517" s="710"/>
      <c r="M517" s="710"/>
      <c r="N517" s="710"/>
      <c r="O517" s="710"/>
      <c r="P517" s="710"/>
      <c r="Q517" s="710"/>
      <c r="R517" s="710"/>
    </row>
    <row r="518" spans="1:18">
      <c r="A518" s="716"/>
      <c r="B518" s="710"/>
      <c r="C518" s="710"/>
      <c r="D518" s="710"/>
      <c r="E518" s="710"/>
      <c r="F518" s="710"/>
      <c r="G518" s="710"/>
      <c r="H518" s="710"/>
      <c r="I518" s="710"/>
      <c r="J518" s="710"/>
      <c r="K518" s="710"/>
      <c r="L518" s="710"/>
      <c r="M518" s="710"/>
      <c r="N518" s="710"/>
      <c r="O518" s="710"/>
      <c r="P518" s="710"/>
      <c r="Q518" s="710"/>
      <c r="R518" s="710"/>
    </row>
    <row r="519" spans="1:18">
      <c r="A519" s="716"/>
      <c r="B519" s="710"/>
      <c r="C519" s="710"/>
      <c r="D519" s="710"/>
      <c r="E519" s="710"/>
      <c r="F519" s="710"/>
      <c r="G519" s="710"/>
      <c r="H519" s="710"/>
      <c r="I519" s="710"/>
      <c r="J519" s="710"/>
      <c r="K519" s="710"/>
      <c r="L519" s="710"/>
      <c r="M519" s="710"/>
      <c r="N519" s="710"/>
      <c r="O519" s="710"/>
      <c r="P519" s="710"/>
      <c r="Q519" s="710"/>
      <c r="R519" s="710"/>
    </row>
    <row r="520" spans="1:18">
      <c r="A520" s="716"/>
      <c r="B520" s="710"/>
      <c r="C520" s="710"/>
      <c r="D520" s="710"/>
      <c r="E520" s="710"/>
      <c r="F520" s="710"/>
      <c r="G520" s="710"/>
      <c r="H520" s="710"/>
      <c r="I520" s="710"/>
      <c r="J520" s="710"/>
      <c r="K520" s="710"/>
      <c r="L520" s="710"/>
      <c r="M520" s="710"/>
      <c r="N520" s="710"/>
      <c r="O520" s="710"/>
      <c r="P520" s="710"/>
      <c r="Q520" s="710"/>
      <c r="R520" s="710"/>
    </row>
    <row r="521" spans="1:18">
      <c r="A521" s="716"/>
      <c r="B521" s="710"/>
      <c r="C521" s="710"/>
      <c r="D521" s="710"/>
      <c r="E521" s="710"/>
      <c r="F521" s="710"/>
      <c r="G521" s="710"/>
      <c r="H521" s="710"/>
      <c r="I521" s="710"/>
      <c r="J521" s="710"/>
      <c r="K521" s="710"/>
      <c r="L521" s="710"/>
      <c r="M521" s="710"/>
      <c r="N521" s="710"/>
      <c r="O521" s="710"/>
      <c r="P521" s="710"/>
      <c r="Q521" s="710"/>
      <c r="R521" s="710"/>
    </row>
    <row r="522" spans="1:18">
      <c r="A522" s="716"/>
      <c r="B522" s="710"/>
      <c r="C522" s="710"/>
      <c r="D522" s="710"/>
      <c r="E522" s="710"/>
      <c r="F522" s="710"/>
      <c r="G522" s="710"/>
      <c r="H522" s="710"/>
      <c r="I522" s="710"/>
      <c r="J522" s="710"/>
      <c r="K522" s="710"/>
      <c r="L522" s="710"/>
      <c r="M522" s="710"/>
      <c r="N522" s="710"/>
      <c r="O522" s="710"/>
      <c r="P522" s="710"/>
      <c r="Q522" s="710"/>
      <c r="R522" s="710"/>
    </row>
    <row r="523" spans="1:18">
      <c r="A523" s="716"/>
      <c r="B523" s="710"/>
      <c r="C523" s="710"/>
      <c r="D523" s="710"/>
      <c r="E523" s="710"/>
      <c r="F523" s="710"/>
      <c r="G523" s="710"/>
      <c r="H523" s="710"/>
      <c r="I523" s="710"/>
      <c r="J523" s="710"/>
      <c r="K523" s="710"/>
      <c r="L523" s="710"/>
      <c r="M523" s="710"/>
      <c r="N523" s="710"/>
      <c r="O523" s="710"/>
      <c r="P523" s="710"/>
      <c r="Q523" s="710"/>
      <c r="R523" s="710"/>
    </row>
    <row r="524" spans="1:18">
      <c r="A524" s="716"/>
      <c r="B524" s="710"/>
      <c r="C524" s="710"/>
      <c r="D524" s="710"/>
      <c r="E524" s="710"/>
      <c r="F524" s="710"/>
      <c r="G524" s="710"/>
      <c r="H524" s="710"/>
      <c r="I524" s="710"/>
      <c r="J524" s="710"/>
      <c r="K524" s="710"/>
      <c r="L524" s="710"/>
      <c r="M524" s="710"/>
      <c r="N524" s="710"/>
      <c r="O524" s="710"/>
      <c r="P524" s="710"/>
      <c r="Q524" s="710"/>
      <c r="R524" s="710"/>
    </row>
    <row r="525" spans="1:18">
      <c r="A525" s="716"/>
      <c r="B525" s="710"/>
      <c r="C525" s="710"/>
      <c r="D525" s="710"/>
      <c r="E525" s="710"/>
      <c r="F525" s="710"/>
      <c r="G525" s="710"/>
      <c r="H525" s="710"/>
      <c r="I525" s="710"/>
      <c r="J525" s="710"/>
      <c r="K525" s="710"/>
      <c r="L525" s="710"/>
      <c r="M525" s="710"/>
      <c r="N525" s="710"/>
      <c r="O525" s="710"/>
      <c r="P525" s="710"/>
      <c r="Q525" s="710"/>
      <c r="R525" s="710"/>
    </row>
    <row r="526" spans="1:18">
      <c r="A526" s="716"/>
      <c r="B526" s="710"/>
      <c r="C526" s="710"/>
      <c r="D526" s="710"/>
      <c r="E526" s="710"/>
      <c r="F526" s="710"/>
      <c r="G526" s="710"/>
      <c r="H526" s="710"/>
      <c r="I526" s="710"/>
      <c r="J526" s="710"/>
      <c r="K526" s="710"/>
      <c r="L526" s="710"/>
      <c r="M526" s="710"/>
      <c r="N526" s="710"/>
      <c r="O526" s="710"/>
      <c r="P526" s="710"/>
      <c r="Q526" s="710"/>
      <c r="R526" s="710"/>
    </row>
    <row r="527" spans="1:18">
      <c r="A527" s="716"/>
      <c r="B527" s="710"/>
      <c r="C527" s="710"/>
      <c r="D527" s="710"/>
      <c r="E527" s="710"/>
      <c r="F527" s="710"/>
      <c r="G527" s="710"/>
      <c r="H527" s="710"/>
      <c r="I527" s="710"/>
      <c r="J527" s="710"/>
      <c r="K527" s="710"/>
      <c r="L527" s="710"/>
      <c r="M527" s="710"/>
      <c r="N527" s="710"/>
      <c r="O527" s="710"/>
      <c r="P527" s="710"/>
      <c r="Q527" s="710"/>
      <c r="R527" s="710"/>
    </row>
    <row r="528" spans="1:18">
      <c r="A528" s="716"/>
      <c r="B528" s="710"/>
      <c r="C528" s="710"/>
      <c r="D528" s="710"/>
      <c r="E528" s="710"/>
      <c r="F528" s="710"/>
      <c r="G528" s="710"/>
      <c r="H528" s="710"/>
      <c r="I528" s="710"/>
      <c r="J528" s="710"/>
      <c r="K528" s="710"/>
      <c r="L528" s="710"/>
      <c r="M528" s="710"/>
      <c r="N528" s="710"/>
      <c r="O528" s="710"/>
      <c r="P528" s="710"/>
      <c r="Q528" s="710"/>
      <c r="R528" s="710"/>
    </row>
    <row r="529" spans="1:18">
      <c r="A529" s="716"/>
      <c r="B529" s="710"/>
      <c r="C529" s="710"/>
      <c r="D529" s="710"/>
      <c r="E529" s="710"/>
      <c r="F529" s="710"/>
      <c r="G529" s="710"/>
      <c r="H529" s="710"/>
      <c r="I529" s="710"/>
      <c r="J529" s="710"/>
      <c r="K529" s="710"/>
      <c r="L529" s="710"/>
      <c r="M529" s="710"/>
      <c r="N529" s="710"/>
      <c r="O529" s="710"/>
      <c r="P529" s="710"/>
      <c r="Q529" s="710"/>
      <c r="R529" s="710"/>
    </row>
    <row r="530" spans="1:18">
      <c r="A530" s="716"/>
      <c r="B530" s="710"/>
      <c r="C530" s="710"/>
      <c r="D530" s="710"/>
      <c r="E530" s="710"/>
      <c r="F530" s="710"/>
      <c r="G530" s="710"/>
      <c r="H530" s="710"/>
      <c r="I530" s="710"/>
      <c r="J530" s="710"/>
      <c r="K530" s="710"/>
      <c r="L530" s="710"/>
      <c r="M530" s="710"/>
      <c r="N530" s="710"/>
      <c r="O530" s="710"/>
      <c r="P530" s="710"/>
      <c r="Q530" s="710"/>
      <c r="R530" s="710"/>
    </row>
    <row r="531" spans="1:18">
      <c r="A531" s="716"/>
      <c r="B531" s="710"/>
      <c r="C531" s="710"/>
      <c r="D531" s="710"/>
      <c r="E531" s="710"/>
      <c r="F531" s="710"/>
      <c r="G531" s="710"/>
      <c r="H531" s="710"/>
      <c r="I531" s="710"/>
      <c r="J531" s="710"/>
      <c r="K531" s="710"/>
      <c r="L531" s="710"/>
      <c r="M531" s="710"/>
      <c r="N531" s="710"/>
      <c r="O531" s="710"/>
      <c r="P531" s="710"/>
      <c r="Q531" s="710"/>
      <c r="R531" s="710"/>
    </row>
    <row r="532" spans="1:18">
      <c r="A532" s="716"/>
      <c r="B532" s="710"/>
      <c r="C532" s="710"/>
      <c r="D532" s="710"/>
      <c r="E532" s="710"/>
      <c r="F532" s="710"/>
      <c r="G532" s="710"/>
      <c r="H532" s="710"/>
      <c r="I532" s="710"/>
      <c r="J532" s="710"/>
      <c r="K532" s="710"/>
      <c r="L532" s="710"/>
      <c r="M532" s="710"/>
      <c r="N532" s="710"/>
      <c r="O532" s="710"/>
      <c r="P532" s="710"/>
      <c r="Q532" s="710"/>
      <c r="R532" s="710"/>
    </row>
    <row r="533" spans="1:18">
      <c r="A533" s="716"/>
      <c r="B533" s="710"/>
      <c r="C533" s="710"/>
      <c r="D533" s="710"/>
      <c r="E533" s="710"/>
      <c r="F533" s="710"/>
      <c r="G533" s="710"/>
      <c r="H533" s="710"/>
      <c r="I533" s="710"/>
      <c r="J533" s="710"/>
      <c r="K533" s="710"/>
      <c r="L533" s="710"/>
      <c r="M533" s="710"/>
      <c r="N533" s="710"/>
      <c r="O533" s="710"/>
      <c r="P533" s="710"/>
      <c r="Q533" s="710"/>
      <c r="R533" s="710"/>
    </row>
    <row r="534" spans="1:18">
      <c r="A534" s="716"/>
      <c r="B534" s="710"/>
      <c r="C534" s="710"/>
      <c r="D534" s="710"/>
      <c r="E534" s="710"/>
      <c r="F534" s="710"/>
      <c r="G534" s="710"/>
      <c r="H534" s="710"/>
      <c r="I534" s="710"/>
      <c r="J534" s="710"/>
      <c r="K534" s="710"/>
      <c r="L534" s="710"/>
      <c r="M534" s="710"/>
      <c r="N534" s="710"/>
      <c r="O534" s="710"/>
      <c r="P534" s="710"/>
      <c r="Q534" s="710"/>
      <c r="R534" s="710"/>
    </row>
    <row r="535" spans="1:18">
      <c r="A535" s="716"/>
      <c r="B535" s="710"/>
      <c r="C535" s="710"/>
      <c r="D535" s="710"/>
      <c r="E535" s="710"/>
      <c r="F535" s="710"/>
      <c r="G535" s="710"/>
      <c r="H535" s="710"/>
      <c r="I535" s="710"/>
      <c r="J535" s="710"/>
      <c r="K535" s="710"/>
      <c r="L535" s="710"/>
      <c r="M535" s="710"/>
      <c r="N535" s="710"/>
      <c r="O535" s="710"/>
      <c r="P535" s="710"/>
      <c r="Q535" s="710"/>
      <c r="R535" s="710"/>
    </row>
    <row r="536" spans="1:18">
      <c r="A536" s="716"/>
      <c r="B536" s="710"/>
      <c r="C536" s="710"/>
      <c r="D536" s="710"/>
      <c r="E536" s="710"/>
      <c r="F536" s="710"/>
      <c r="G536" s="710"/>
      <c r="H536" s="710"/>
      <c r="I536" s="710"/>
      <c r="J536" s="710"/>
      <c r="K536" s="710"/>
      <c r="L536" s="710"/>
      <c r="M536" s="710"/>
      <c r="N536" s="710"/>
      <c r="O536" s="710"/>
      <c r="P536" s="710"/>
      <c r="Q536" s="710"/>
      <c r="R536" s="710"/>
    </row>
    <row r="537" spans="1:18">
      <c r="A537" s="716"/>
      <c r="B537" s="710"/>
      <c r="C537" s="710"/>
      <c r="D537" s="710"/>
      <c r="E537" s="710"/>
      <c r="F537" s="710"/>
      <c r="G537" s="710"/>
      <c r="H537" s="710"/>
      <c r="I537" s="710"/>
      <c r="J537" s="710"/>
      <c r="K537" s="710"/>
      <c r="L537" s="710"/>
      <c r="M537" s="710"/>
      <c r="N537" s="710"/>
      <c r="O537" s="710"/>
      <c r="P537" s="710"/>
      <c r="Q537" s="710"/>
      <c r="R537" s="710"/>
    </row>
    <row r="538" spans="1:18">
      <c r="A538" s="716"/>
      <c r="B538" s="710"/>
      <c r="C538" s="710"/>
      <c r="D538" s="710"/>
      <c r="E538" s="710"/>
      <c r="F538" s="710"/>
      <c r="G538" s="710"/>
      <c r="H538" s="710"/>
      <c r="I538" s="710"/>
      <c r="J538" s="710"/>
      <c r="K538" s="710"/>
      <c r="L538" s="710"/>
      <c r="M538" s="710"/>
      <c r="N538" s="710"/>
      <c r="O538" s="710"/>
      <c r="P538" s="710"/>
      <c r="Q538" s="710"/>
      <c r="R538" s="710"/>
    </row>
    <row r="539" spans="1:18">
      <c r="A539" s="716"/>
      <c r="B539" s="710"/>
      <c r="C539" s="710"/>
      <c r="D539" s="710"/>
      <c r="E539" s="710"/>
      <c r="F539" s="710"/>
      <c r="G539" s="710"/>
      <c r="H539" s="710"/>
      <c r="I539" s="710"/>
      <c r="J539" s="710"/>
      <c r="K539" s="710"/>
      <c r="L539" s="710"/>
      <c r="M539" s="710"/>
      <c r="N539" s="710"/>
      <c r="O539" s="710"/>
      <c r="P539" s="710"/>
      <c r="Q539" s="710"/>
      <c r="R539" s="710"/>
    </row>
    <row r="540" spans="1:18">
      <c r="A540" s="716"/>
      <c r="B540" s="710"/>
      <c r="C540" s="710"/>
      <c r="D540" s="710"/>
      <c r="E540" s="710"/>
      <c r="F540" s="710"/>
      <c r="G540" s="710"/>
      <c r="H540" s="710"/>
      <c r="I540" s="710"/>
      <c r="J540" s="710"/>
      <c r="K540" s="710"/>
      <c r="L540" s="710"/>
      <c r="M540" s="710"/>
      <c r="N540" s="710"/>
      <c r="O540" s="710"/>
      <c r="P540" s="710"/>
      <c r="Q540" s="710"/>
      <c r="R540" s="710"/>
    </row>
    <row r="541" spans="1:18">
      <c r="A541" s="716"/>
      <c r="B541" s="710"/>
      <c r="C541" s="710"/>
      <c r="D541" s="710"/>
      <c r="E541" s="710"/>
      <c r="F541" s="710"/>
      <c r="G541" s="710"/>
      <c r="H541" s="710"/>
      <c r="I541" s="710"/>
      <c r="J541" s="710"/>
      <c r="K541" s="710"/>
      <c r="L541" s="710"/>
      <c r="M541" s="710"/>
      <c r="N541" s="710"/>
      <c r="O541" s="710"/>
      <c r="P541" s="710"/>
      <c r="Q541" s="710"/>
      <c r="R541" s="710"/>
    </row>
    <row r="542" spans="1:18">
      <c r="A542" s="716"/>
      <c r="B542" s="710"/>
      <c r="C542" s="710"/>
      <c r="D542" s="710"/>
      <c r="E542" s="710"/>
      <c r="F542" s="710"/>
      <c r="G542" s="710"/>
      <c r="H542" s="710"/>
      <c r="I542" s="710"/>
      <c r="J542" s="710"/>
      <c r="K542" s="710"/>
      <c r="L542" s="710"/>
      <c r="M542" s="710"/>
      <c r="N542" s="710"/>
      <c r="O542" s="710"/>
      <c r="P542" s="710"/>
      <c r="Q542" s="710"/>
      <c r="R542" s="710"/>
    </row>
    <row r="543" spans="1:18">
      <c r="A543" s="716"/>
      <c r="B543" s="710"/>
      <c r="C543" s="710"/>
      <c r="D543" s="710"/>
      <c r="E543" s="710"/>
      <c r="F543" s="710"/>
      <c r="G543" s="710"/>
      <c r="H543" s="710"/>
      <c r="I543" s="710"/>
      <c r="J543" s="710"/>
      <c r="K543" s="710"/>
      <c r="L543" s="710"/>
      <c r="M543" s="710"/>
      <c r="N543" s="710"/>
      <c r="O543" s="710"/>
      <c r="P543" s="710"/>
      <c r="Q543" s="710"/>
      <c r="R543" s="710"/>
    </row>
    <row r="544" spans="1:18">
      <c r="A544" s="716"/>
      <c r="B544" s="710"/>
      <c r="C544" s="710"/>
      <c r="D544" s="710"/>
      <c r="E544" s="710"/>
      <c r="F544" s="710"/>
      <c r="G544" s="710"/>
      <c r="H544" s="710"/>
      <c r="I544" s="710"/>
      <c r="J544" s="710"/>
      <c r="K544" s="710"/>
      <c r="L544" s="710"/>
      <c r="M544" s="710"/>
      <c r="N544" s="710"/>
      <c r="O544" s="710"/>
      <c r="P544" s="710"/>
      <c r="Q544" s="710"/>
      <c r="R544" s="710"/>
    </row>
    <row r="545" spans="1:18">
      <c r="A545" s="716"/>
      <c r="B545" s="710"/>
      <c r="C545" s="710"/>
      <c r="D545" s="710"/>
      <c r="E545" s="710"/>
      <c r="F545" s="710"/>
      <c r="G545" s="710"/>
      <c r="H545" s="710"/>
      <c r="I545" s="710"/>
      <c r="J545" s="710"/>
      <c r="K545" s="710"/>
      <c r="L545" s="710"/>
      <c r="M545" s="710"/>
      <c r="N545" s="710"/>
      <c r="O545" s="710"/>
      <c r="P545" s="710"/>
      <c r="Q545" s="710"/>
      <c r="R545" s="710"/>
    </row>
    <row r="546" spans="1:18">
      <c r="A546" s="716"/>
      <c r="B546" s="710"/>
      <c r="C546" s="710"/>
      <c r="D546" s="710"/>
      <c r="E546" s="710"/>
      <c r="F546" s="710"/>
      <c r="G546" s="710"/>
      <c r="H546" s="710"/>
      <c r="I546" s="710"/>
      <c r="J546" s="710"/>
      <c r="K546" s="710"/>
      <c r="L546" s="710"/>
      <c r="M546" s="710"/>
      <c r="N546" s="710"/>
      <c r="O546" s="710"/>
      <c r="P546" s="710"/>
      <c r="Q546" s="710"/>
      <c r="R546" s="710"/>
    </row>
    <row r="547" spans="1:18">
      <c r="A547" s="716"/>
      <c r="B547" s="710"/>
      <c r="C547" s="710"/>
      <c r="D547" s="710"/>
      <c r="E547" s="710"/>
      <c r="F547" s="710"/>
      <c r="G547" s="710"/>
      <c r="H547" s="710"/>
      <c r="I547" s="710"/>
      <c r="J547" s="710"/>
      <c r="K547" s="710"/>
      <c r="L547" s="710"/>
      <c r="M547" s="710"/>
      <c r="N547" s="710"/>
      <c r="O547" s="710"/>
      <c r="P547" s="710"/>
      <c r="Q547" s="710"/>
      <c r="R547" s="710"/>
    </row>
    <row r="548" spans="1:18">
      <c r="A548" s="716"/>
      <c r="B548" s="710"/>
      <c r="C548" s="710"/>
      <c r="D548" s="710"/>
      <c r="E548" s="710"/>
      <c r="F548" s="710"/>
      <c r="G548" s="710"/>
      <c r="H548" s="710"/>
      <c r="I548" s="710"/>
      <c r="J548" s="710"/>
      <c r="K548" s="710"/>
      <c r="L548" s="710"/>
      <c r="M548" s="710"/>
      <c r="N548" s="710"/>
      <c r="O548" s="710"/>
      <c r="P548" s="710"/>
      <c r="Q548" s="710"/>
      <c r="R548" s="710"/>
    </row>
    <row r="549" spans="1:18">
      <c r="A549" s="716"/>
      <c r="B549" s="710"/>
      <c r="C549" s="710"/>
      <c r="D549" s="710"/>
      <c r="E549" s="710"/>
      <c r="F549" s="710"/>
      <c r="G549" s="710"/>
      <c r="H549" s="710"/>
      <c r="I549" s="710"/>
      <c r="J549" s="710"/>
      <c r="K549" s="710"/>
      <c r="L549" s="710"/>
      <c r="M549" s="710"/>
      <c r="N549" s="710"/>
      <c r="O549" s="710"/>
      <c r="P549" s="710"/>
      <c r="Q549" s="710"/>
      <c r="R549" s="710"/>
    </row>
    <row r="550" spans="1:18">
      <c r="A550" s="716"/>
      <c r="B550" s="710"/>
      <c r="C550" s="710"/>
      <c r="D550" s="710"/>
      <c r="E550" s="710"/>
      <c r="F550" s="710"/>
      <c r="G550" s="710"/>
      <c r="H550" s="710"/>
      <c r="I550" s="710"/>
      <c r="J550" s="710"/>
      <c r="K550" s="710"/>
      <c r="L550" s="710"/>
      <c r="M550" s="710"/>
      <c r="N550" s="710"/>
      <c r="O550" s="710"/>
      <c r="P550" s="710"/>
      <c r="Q550" s="710"/>
      <c r="R550" s="710"/>
    </row>
    <row r="551" spans="1:18">
      <c r="A551" s="716"/>
      <c r="B551" s="710"/>
      <c r="C551" s="710"/>
      <c r="D551" s="710"/>
      <c r="E551" s="710"/>
      <c r="F551" s="710"/>
      <c r="G551" s="710"/>
      <c r="H551" s="710"/>
      <c r="I551" s="710"/>
      <c r="J551" s="710"/>
      <c r="K551" s="710"/>
      <c r="L551" s="710"/>
      <c r="M551" s="710"/>
      <c r="N551" s="710"/>
      <c r="O551" s="710"/>
      <c r="P551" s="710"/>
      <c r="Q551" s="710"/>
      <c r="R551" s="710"/>
    </row>
    <row r="552" spans="1:18">
      <c r="A552" s="716"/>
      <c r="B552" s="710"/>
      <c r="C552" s="710"/>
      <c r="D552" s="710"/>
      <c r="E552" s="710"/>
      <c r="F552" s="710"/>
      <c r="G552" s="710"/>
      <c r="H552" s="710"/>
      <c r="I552" s="710"/>
      <c r="J552" s="710"/>
      <c r="K552" s="710"/>
      <c r="L552" s="710"/>
      <c r="M552" s="710"/>
      <c r="N552" s="710"/>
      <c r="O552" s="710"/>
      <c r="P552" s="710"/>
      <c r="Q552" s="710"/>
      <c r="R552" s="710"/>
    </row>
    <row r="553" spans="1:18">
      <c r="A553" s="716"/>
      <c r="B553" s="710"/>
      <c r="C553" s="710"/>
      <c r="D553" s="710"/>
      <c r="E553" s="710"/>
      <c r="F553" s="710"/>
      <c r="G553" s="710"/>
      <c r="H553" s="710"/>
      <c r="I553" s="710"/>
      <c r="J553" s="710"/>
      <c r="K553" s="710"/>
      <c r="L553" s="710"/>
      <c r="M553" s="710"/>
      <c r="N553" s="710"/>
      <c r="O553" s="710"/>
      <c r="P553" s="710"/>
      <c r="Q553" s="710"/>
      <c r="R553" s="710"/>
    </row>
    <row r="554" spans="1:18">
      <c r="A554" s="716"/>
      <c r="B554" s="710"/>
      <c r="C554" s="710"/>
      <c r="D554" s="710"/>
      <c r="E554" s="710"/>
      <c r="F554" s="710"/>
      <c r="G554" s="710"/>
      <c r="H554" s="710"/>
      <c r="I554" s="710"/>
      <c r="J554" s="710"/>
      <c r="K554" s="710"/>
      <c r="L554" s="710"/>
      <c r="M554" s="710"/>
      <c r="N554" s="710"/>
      <c r="O554" s="710"/>
      <c r="P554" s="710"/>
      <c r="Q554" s="710"/>
      <c r="R554" s="710"/>
    </row>
    <row r="555" spans="1:18">
      <c r="A555" s="716"/>
      <c r="B555" s="710"/>
      <c r="C555" s="710"/>
      <c r="D555" s="710"/>
      <c r="E555" s="710"/>
      <c r="F555" s="710"/>
      <c r="G555" s="710"/>
      <c r="H555" s="710"/>
      <c r="I555" s="710"/>
      <c r="J555" s="710"/>
      <c r="K555" s="710"/>
      <c r="L555" s="710"/>
      <c r="M555" s="710"/>
      <c r="N555" s="710"/>
      <c r="O555" s="710"/>
      <c r="P555" s="710"/>
      <c r="Q555" s="710"/>
      <c r="R555" s="710"/>
    </row>
    <row r="556" spans="1:18">
      <c r="A556" s="716"/>
      <c r="B556" s="710"/>
      <c r="C556" s="710"/>
      <c r="D556" s="710"/>
      <c r="E556" s="710"/>
      <c r="F556" s="710"/>
      <c r="G556" s="710"/>
      <c r="H556" s="710"/>
      <c r="I556" s="710"/>
      <c r="J556" s="710"/>
      <c r="K556" s="710"/>
      <c r="L556" s="710"/>
      <c r="M556" s="710"/>
      <c r="N556" s="710"/>
      <c r="O556" s="710"/>
      <c r="P556" s="710"/>
      <c r="Q556" s="710"/>
      <c r="R556" s="710"/>
    </row>
    <row r="557" spans="1:18">
      <c r="A557" s="716"/>
      <c r="B557" s="710"/>
      <c r="C557" s="710"/>
      <c r="D557" s="710"/>
      <c r="E557" s="710"/>
      <c r="F557" s="710"/>
      <c r="G557" s="710"/>
      <c r="H557" s="710"/>
      <c r="I557" s="710"/>
      <c r="J557" s="710"/>
      <c r="K557" s="710"/>
      <c r="L557" s="710"/>
      <c r="M557" s="710"/>
      <c r="N557" s="710"/>
      <c r="O557" s="710"/>
      <c r="P557" s="710"/>
      <c r="Q557" s="710"/>
      <c r="R557" s="710"/>
    </row>
    <row r="558" spans="1:18">
      <c r="A558" s="716"/>
      <c r="B558" s="710"/>
      <c r="C558" s="710"/>
      <c r="D558" s="710"/>
      <c r="E558" s="710"/>
      <c r="F558" s="710"/>
      <c r="G558" s="710"/>
      <c r="H558" s="710"/>
      <c r="I558" s="710"/>
      <c r="J558" s="710"/>
      <c r="K558" s="710"/>
      <c r="L558" s="710"/>
      <c r="M558" s="710"/>
      <c r="N558" s="710"/>
      <c r="O558" s="710"/>
      <c r="P558" s="710"/>
      <c r="Q558" s="710"/>
      <c r="R558" s="710"/>
    </row>
    <row r="559" spans="1:18">
      <c r="A559" s="716"/>
      <c r="B559" s="710"/>
      <c r="C559" s="710"/>
      <c r="D559" s="710"/>
      <c r="E559" s="710"/>
      <c r="F559" s="710"/>
      <c r="G559" s="710"/>
      <c r="H559" s="710"/>
      <c r="I559" s="710"/>
      <c r="J559" s="710"/>
      <c r="K559" s="710"/>
      <c r="L559" s="710"/>
      <c r="M559" s="710"/>
      <c r="N559" s="710"/>
      <c r="O559" s="710"/>
      <c r="P559" s="710"/>
      <c r="Q559" s="710"/>
      <c r="R559" s="710"/>
    </row>
    <row r="560" spans="1:18">
      <c r="A560" s="716"/>
      <c r="B560" s="710"/>
      <c r="C560" s="710"/>
      <c r="D560" s="710"/>
      <c r="E560" s="710"/>
      <c r="F560" s="710"/>
      <c r="G560" s="710"/>
      <c r="H560" s="710"/>
      <c r="I560" s="710"/>
      <c r="J560" s="710"/>
      <c r="K560" s="710"/>
      <c r="L560" s="710"/>
      <c r="M560" s="710"/>
      <c r="N560" s="710"/>
      <c r="O560" s="710"/>
      <c r="P560" s="710"/>
      <c r="Q560" s="710"/>
      <c r="R560" s="710"/>
    </row>
    <row r="561" spans="1:18">
      <c r="A561" s="716"/>
      <c r="B561" s="710"/>
      <c r="C561" s="710"/>
      <c r="D561" s="710"/>
      <c r="E561" s="710"/>
      <c r="F561" s="710"/>
      <c r="G561" s="710"/>
      <c r="H561" s="710"/>
      <c r="I561" s="710"/>
      <c r="J561" s="710"/>
      <c r="K561" s="710"/>
      <c r="L561" s="710"/>
      <c r="M561" s="710"/>
      <c r="N561" s="710"/>
      <c r="O561" s="710"/>
      <c r="P561" s="710"/>
      <c r="Q561" s="710"/>
      <c r="R561" s="710"/>
    </row>
    <row r="562" spans="1:18">
      <c r="A562" s="716"/>
      <c r="B562" s="710"/>
      <c r="C562" s="710"/>
      <c r="D562" s="710"/>
      <c r="E562" s="710"/>
      <c r="F562" s="710"/>
      <c r="G562" s="710"/>
      <c r="H562" s="710"/>
      <c r="I562" s="710"/>
      <c r="J562" s="710"/>
      <c r="K562" s="710"/>
      <c r="L562" s="710"/>
      <c r="M562" s="710"/>
      <c r="N562" s="710"/>
      <c r="O562" s="710"/>
      <c r="P562" s="710"/>
      <c r="Q562" s="710"/>
      <c r="R562" s="710"/>
    </row>
    <row r="563" spans="1:18">
      <c r="A563" s="716"/>
      <c r="B563" s="710"/>
      <c r="C563" s="710"/>
      <c r="D563" s="710"/>
      <c r="E563" s="710"/>
      <c r="F563" s="710"/>
      <c r="G563" s="710"/>
      <c r="H563" s="710"/>
      <c r="I563" s="710"/>
      <c r="J563" s="710"/>
      <c r="K563" s="710"/>
      <c r="L563" s="710"/>
      <c r="M563" s="710"/>
      <c r="N563" s="710"/>
      <c r="O563" s="710"/>
      <c r="P563" s="710"/>
      <c r="Q563" s="710"/>
      <c r="R563" s="710"/>
    </row>
    <row r="564" spans="1:18">
      <c r="A564" s="716"/>
      <c r="B564" s="710"/>
      <c r="C564" s="710"/>
      <c r="D564" s="710"/>
      <c r="E564" s="710"/>
      <c r="F564" s="710"/>
      <c r="G564" s="710"/>
      <c r="H564" s="710"/>
      <c r="I564" s="710"/>
      <c r="J564" s="710"/>
      <c r="K564" s="710"/>
      <c r="L564" s="710"/>
      <c r="M564" s="710"/>
      <c r="N564" s="710"/>
      <c r="O564" s="710"/>
      <c r="P564" s="710"/>
      <c r="Q564" s="710"/>
      <c r="R564" s="710"/>
    </row>
    <row r="565" spans="1:18">
      <c r="A565" s="716"/>
      <c r="B565" s="710"/>
      <c r="C565" s="710"/>
      <c r="D565" s="710"/>
      <c r="E565" s="710"/>
      <c r="F565" s="710"/>
      <c r="G565" s="710"/>
      <c r="H565" s="710"/>
      <c r="I565" s="710"/>
      <c r="J565" s="710"/>
      <c r="K565" s="710"/>
      <c r="L565" s="710"/>
      <c r="M565" s="710"/>
      <c r="N565" s="710"/>
      <c r="O565" s="710"/>
      <c r="P565" s="710"/>
      <c r="Q565" s="710"/>
      <c r="R565" s="710"/>
    </row>
    <row r="566" spans="1:18">
      <c r="A566" s="716"/>
      <c r="B566" s="710"/>
      <c r="C566" s="710"/>
      <c r="D566" s="710"/>
      <c r="E566" s="710"/>
      <c r="F566" s="710"/>
      <c r="G566" s="710"/>
      <c r="H566" s="710"/>
      <c r="I566" s="710"/>
      <c r="J566" s="710"/>
      <c r="K566" s="710"/>
      <c r="L566" s="710"/>
      <c r="M566" s="710"/>
      <c r="N566" s="710"/>
      <c r="O566" s="710"/>
      <c r="P566" s="710"/>
      <c r="Q566" s="710"/>
      <c r="R566" s="710"/>
    </row>
    <row r="567" spans="1:18">
      <c r="A567" s="716"/>
      <c r="B567" s="710"/>
      <c r="C567" s="710"/>
      <c r="D567" s="710"/>
      <c r="E567" s="710"/>
      <c r="F567" s="710"/>
      <c r="G567" s="710"/>
      <c r="H567" s="710"/>
      <c r="I567" s="710"/>
      <c r="J567" s="710"/>
      <c r="K567" s="710"/>
      <c r="L567" s="710"/>
      <c r="M567" s="710"/>
      <c r="N567" s="710"/>
      <c r="O567" s="710"/>
      <c r="P567" s="710"/>
      <c r="Q567" s="710"/>
      <c r="R567" s="710"/>
    </row>
    <row r="568" spans="1:18">
      <c r="A568" s="716"/>
      <c r="B568" s="710"/>
      <c r="C568" s="710"/>
      <c r="D568" s="710"/>
      <c r="E568" s="710"/>
      <c r="F568" s="710"/>
      <c r="G568" s="710"/>
      <c r="H568" s="710"/>
      <c r="I568" s="710"/>
      <c r="J568" s="710"/>
      <c r="K568" s="710"/>
      <c r="L568" s="710"/>
      <c r="M568" s="710"/>
      <c r="N568" s="710"/>
      <c r="O568" s="710"/>
      <c r="P568" s="710"/>
      <c r="Q568" s="710"/>
      <c r="R568" s="710"/>
    </row>
    <row r="569" spans="1:18">
      <c r="A569" s="716"/>
      <c r="B569" s="710"/>
      <c r="C569" s="710"/>
      <c r="D569" s="710"/>
      <c r="E569" s="710"/>
      <c r="F569" s="710"/>
      <c r="G569" s="710"/>
      <c r="H569" s="710"/>
      <c r="I569" s="710"/>
      <c r="J569" s="710"/>
      <c r="K569" s="710"/>
      <c r="L569" s="710"/>
      <c r="M569" s="710"/>
      <c r="N569" s="710"/>
      <c r="O569" s="710"/>
      <c r="P569" s="710"/>
      <c r="Q569" s="710"/>
      <c r="R569" s="710"/>
    </row>
    <row r="570" spans="1:18">
      <c r="A570" s="716"/>
      <c r="B570" s="710"/>
      <c r="C570" s="710"/>
      <c r="D570" s="710"/>
      <c r="E570" s="710"/>
      <c r="F570" s="710"/>
      <c r="G570" s="710"/>
      <c r="H570" s="710"/>
      <c r="I570" s="710"/>
      <c r="J570" s="710"/>
      <c r="K570" s="710"/>
      <c r="L570" s="710"/>
      <c r="M570" s="710"/>
      <c r="N570" s="710"/>
      <c r="O570" s="710"/>
      <c r="P570" s="710"/>
      <c r="Q570" s="710"/>
      <c r="R570" s="710"/>
    </row>
    <row r="571" spans="1:18">
      <c r="A571" s="716"/>
      <c r="B571" s="710"/>
      <c r="C571" s="710"/>
      <c r="D571" s="710"/>
      <c r="E571" s="710"/>
      <c r="F571" s="710"/>
      <c r="G571" s="710"/>
      <c r="H571" s="710"/>
      <c r="I571" s="710"/>
      <c r="J571" s="710"/>
      <c r="K571" s="710"/>
      <c r="L571" s="710"/>
      <c r="M571" s="710"/>
      <c r="N571" s="710"/>
      <c r="O571" s="710"/>
      <c r="P571" s="710"/>
      <c r="Q571" s="710"/>
      <c r="R571" s="710"/>
    </row>
    <row r="572" spans="1:18">
      <c r="A572" s="716"/>
      <c r="B572" s="710"/>
      <c r="C572" s="710"/>
      <c r="D572" s="710"/>
      <c r="E572" s="710"/>
      <c r="F572" s="710"/>
      <c r="G572" s="710"/>
      <c r="H572" s="710"/>
      <c r="I572" s="710"/>
      <c r="J572" s="710"/>
      <c r="K572" s="710"/>
      <c r="L572" s="710"/>
      <c r="M572" s="710"/>
      <c r="N572" s="710"/>
      <c r="O572" s="710"/>
      <c r="P572" s="710"/>
      <c r="Q572" s="710"/>
      <c r="R572" s="710"/>
    </row>
    <row r="573" spans="1:18">
      <c r="A573" s="716"/>
      <c r="B573" s="710"/>
      <c r="C573" s="710"/>
      <c r="D573" s="710"/>
      <c r="E573" s="710"/>
      <c r="F573" s="710"/>
      <c r="G573" s="710"/>
      <c r="H573" s="710"/>
      <c r="I573" s="710"/>
      <c r="J573" s="710"/>
      <c r="K573" s="710"/>
      <c r="L573" s="710"/>
      <c r="M573" s="710"/>
      <c r="N573" s="710"/>
      <c r="O573" s="710"/>
      <c r="P573" s="710"/>
      <c r="Q573" s="710"/>
      <c r="R573" s="710"/>
    </row>
    <row r="574" spans="1:18">
      <c r="A574" s="716"/>
      <c r="B574" s="710"/>
      <c r="C574" s="710"/>
      <c r="D574" s="710"/>
      <c r="E574" s="710"/>
      <c r="F574" s="710"/>
      <c r="G574" s="710"/>
      <c r="H574" s="710"/>
      <c r="I574" s="710"/>
      <c r="J574" s="710"/>
      <c r="K574" s="710"/>
      <c r="L574" s="710"/>
      <c r="M574" s="710"/>
      <c r="N574" s="710"/>
      <c r="O574" s="710"/>
      <c r="P574" s="710"/>
      <c r="Q574" s="710"/>
      <c r="R574" s="710"/>
    </row>
    <row r="575" spans="1:18">
      <c r="A575" s="716"/>
      <c r="B575" s="710"/>
      <c r="C575" s="710"/>
      <c r="D575" s="710"/>
      <c r="E575" s="710"/>
      <c r="F575" s="710"/>
      <c r="G575" s="710"/>
      <c r="H575" s="710"/>
      <c r="I575" s="710"/>
      <c r="J575" s="710"/>
      <c r="K575" s="710"/>
      <c r="L575" s="710"/>
      <c r="M575" s="710"/>
      <c r="N575" s="710"/>
      <c r="O575" s="710"/>
      <c r="P575" s="710"/>
      <c r="Q575" s="710"/>
      <c r="R575" s="710"/>
    </row>
    <row r="576" spans="1:18">
      <c r="A576" s="716"/>
      <c r="B576" s="710"/>
      <c r="C576" s="710"/>
      <c r="D576" s="710"/>
      <c r="E576" s="710"/>
      <c r="F576" s="710"/>
      <c r="G576" s="710"/>
      <c r="H576" s="710"/>
      <c r="I576" s="710"/>
      <c r="J576" s="710"/>
      <c r="K576" s="710"/>
      <c r="L576" s="710"/>
      <c r="M576" s="710"/>
      <c r="N576" s="710"/>
      <c r="O576" s="710"/>
      <c r="P576" s="710"/>
      <c r="Q576" s="710"/>
      <c r="R576" s="710"/>
    </row>
    <row r="577" spans="1:18">
      <c r="A577" s="716"/>
      <c r="B577" s="710"/>
      <c r="C577" s="710"/>
      <c r="D577" s="710"/>
      <c r="E577" s="710"/>
      <c r="F577" s="710"/>
      <c r="G577" s="710"/>
      <c r="H577" s="710"/>
      <c r="I577" s="710"/>
      <c r="J577" s="710"/>
      <c r="K577" s="710"/>
      <c r="L577" s="710"/>
      <c r="M577" s="710"/>
      <c r="N577" s="710"/>
      <c r="O577" s="710"/>
      <c r="P577" s="710"/>
      <c r="Q577" s="710"/>
      <c r="R577" s="710"/>
    </row>
    <row r="578" spans="1:18">
      <c r="A578" s="716"/>
      <c r="B578" s="710"/>
      <c r="C578" s="710"/>
      <c r="D578" s="710"/>
      <c r="E578" s="710"/>
      <c r="F578" s="710"/>
      <c r="G578" s="710"/>
      <c r="H578" s="710"/>
      <c r="I578" s="710"/>
      <c r="J578" s="710"/>
      <c r="K578" s="710"/>
      <c r="L578" s="710"/>
      <c r="M578" s="710"/>
      <c r="N578" s="710"/>
      <c r="O578" s="710"/>
      <c r="P578" s="710"/>
      <c r="Q578" s="710"/>
      <c r="R578" s="710"/>
    </row>
    <row r="579" spans="1:18">
      <c r="A579" s="716"/>
      <c r="B579" s="710"/>
      <c r="C579" s="710"/>
      <c r="D579" s="710"/>
      <c r="E579" s="710"/>
      <c r="F579" s="710"/>
      <c r="G579" s="710"/>
      <c r="H579" s="710"/>
      <c r="I579" s="710"/>
      <c r="J579" s="710"/>
      <c r="K579" s="710"/>
      <c r="L579" s="710"/>
      <c r="M579" s="710"/>
      <c r="N579" s="710"/>
      <c r="O579" s="710"/>
      <c r="P579" s="710"/>
      <c r="Q579" s="710"/>
      <c r="R579" s="710"/>
    </row>
    <row r="580" spans="1:18">
      <c r="A580" s="716"/>
      <c r="B580" s="710"/>
      <c r="C580" s="710"/>
      <c r="D580" s="710"/>
      <c r="E580" s="710"/>
      <c r="F580" s="710"/>
      <c r="G580" s="710"/>
      <c r="H580" s="710"/>
      <c r="I580" s="710"/>
      <c r="J580" s="710"/>
      <c r="K580" s="710"/>
      <c r="L580" s="710"/>
      <c r="M580" s="710"/>
      <c r="N580" s="710"/>
      <c r="O580" s="710"/>
      <c r="P580" s="710"/>
      <c r="Q580" s="710"/>
      <c r="R580" s="710"/>
    </row>
    <row r="581" spans="1:18">
      <c r="A581" s="716"/>
      <c r="B581" s="710"/>
      <c r="C581" s="710"/>
      <c r="D581" s="710"/>
      <c r="E581" s="710"/>
      <c r="F581" s="710"/>
      <c r="G581" s="710"/>
      <c r="H581" s="710"/>
      <c r="I581" s="710"/>
      <c r="J581" s="710"/>
      <c r="K581" s="710"/>
      <c r="L581" s="710"/>
      <c r="M581" s="710"/>
      <c r="N581" s="710"/>
      <c r="O581" s="710"/>
      <c r="P581" s="710"/>
      <c r="Q581" s="710"/>
      <c r="R581" s="710"/>
    </row>
    <row r="582" spans="1:18">
      <c r="A582" s="716"/>
      <c r="B582" s="710"/>
      <c r="C582" s="710"/>
      <c r="D582" s="710"/>
      <c r="E582" s="710"/>
      <c r="F582" s="710"/>
      <c r="G582" s="710"/>
      <c r="H582" s="710"/>
      <c r="I582" s="710"/>
      <c r="J582" s="710"/>
      <c r="K582" s="710"/>
      <c r="L582" s="710"/>
      <c r="M582" s="710"/>
      <c r="N582" s="710"/>
      <c r="O582" s="710"/>
      <c r="P582" s="710"/>
      <c r="Q582" s="710"/>
      <c r="R582" s="710"/>
    </row>
    <row r="583" spans="1:18">
      <c r="A583" s="716"/>
      <c r="B583" s="710"/>
      <c r="C583" s="710"/>
      <c r="D583" s="710"/>
      <c r="E583" s="710"/>
      <c r="F583" s="710"/>
      <c r="G583" s="710"/>
      <c r="H583" s="710"/>
      <c r="I583" s="710"/>
      <c r="J583" s="710"/>
      <c r="K583" s="710"/>
      <c r="L583" s="710"/>
      <c r="M583" s="710"/>
      <c r="N583" s="710"/>
      <c r="O583" s="710"/>
      <c r="P583" s="710"/>
      <c r="Q583" s="710"/>
      <c r="R583" s="710"/>
    </row>
    <row r="584" spans="1:18">
      <c r="A584" s="716"/>
      <c r="B584" s="710"/>
      <c r="C584" s="710"/>
      <c r="D584" s="710"/>
      <c r="E584" s="710"/>
      <c r="F584" s="710"/>
      <c r="G584" s="710"/>
      <c r="H584" s="710"/>
      <c r="I584" s="710"/>
      <c r="J584" s="710"/>
      <c r="K584" s="710"/>
      <c r="L584" s="710"/>
      <c r="M584" s="710"/>
      <c r="N584" s="710"/>
      <c r="O584" s="710"/>
      <c r="P584" s="710"/>
      <c r="Q584" s="710"/>
      <c r="R584" s="710"/>
    </row>
    <row r="585" spans="1:18">
      <c r="A585" s="716"/>
      <c r="B585" s="710"/>
      <c r="C585" s="710"/>
      <c r="D585" s="710"/>
      <c r="E585" s="710"/>
      <c r="F585" s="710"/>
      <c r="G585" s="710"/>
      <c r="H585" s="710"/>
      <c r="I585" s="710"/>
      <c r="J585" s="710"/>
      <c r="K585" s="710"/>
      <c r="L585" s="710"/>
      <c r="M585" s="710"/>
      <c r="N585" s="710"/>
      <c r="O585" s="710"/>
      <c r="P585" s="710"/>
      <c r="Q585" s="710"/>
      <c r="R585" s="710"/>
    </row>
    <row r="586" spans="1:18">
      <c r="A586" s="716"/>
      <c r="B586" s="710"/>
      <c r="C586" s="710"/>
      <c r="D586" s="710"/>
      <c r="E586" s="710"/>
      <c r="F586" s="710"/>
      <c r="G586" s="710"/>
      <c r="H586" s="710"/>
      <c r="I586" s="710"/>
      <c r="J586" s="710"/>
      <c r="K586" s="710"/>
      <c r="L586" s="710"/>
      <c r="M586" s="710"/>
      <c r="N586" s="710"/>
      <c r="O586" s="710"/>
      <c r="P586" s="710"/>
      <c r="Q586" s="710"/>
      <c r="R586" s="710"/>
    </row>
    <row r="587" spans="1:18">
      <c r="A587" s="716"/>
      <c r="B587" s="710"/>
      <c r="C587" s="710"/>
      <c r="D587" s="710"/>
      <c r="E587" s="710"/>
      <c r="F587" s="710"/>
      <c r="G587" s="710"/>
      <c r="H587" s="710"/>
      <c r="I587" s="710"/>
      <c r="J587" s="710"/>
      <c r="K587" s="710"/>
      <c r="L587" s="710"/>
      <c r="M587" s="710"/>
      <c r="N587" s="710"/>
      <c r="O587" s="710"/>
      <c r="P587" s="710"/>
      <c r="Q587" s="710"/>
      <c r="R587" s="710"/>
    </row>
    <row r="588" spans="1:18">
      <c r="A588" s="716"/>
      <c r="B588" s="710"/>
      <c r="C588" s="710"/>
      <c r="D588" s="710"/>
      <c r="E588" s="710"/>
      <c r="F588" s="710"/>
      <c r="G588" s="710"/>
      <c r="H588" s="710"/>
      <c r="I588" s="710"/>
      <c r="J588" s="710"/>
      <c r="K588" s="710"/>
      <c r="L588" s="710"/>
      <c r="M588" s="710"/>
      <c r="N588" s="710"/>
      <c r="O588" s="710"/>
      <c r="P588" s="710"/>
      <c r="Q588" s="710"/>
      <c r="R588" s="710"/>
    </row>
    <row r="589" spans="1:18">
      <c r="A589" s="716"/>
      <c r="B589" s="710"/>
      <c r="C589" s="710"/>
      <c r="D589" s="710"/>
      <c r="E589" s="710"/>
      <c r="F589" s="710"/>
      <c r="G589" s="710"/>
      <c r="H589" s="710"/>
      <c r="I589" s="710"/>
      <c r="J589" s="710"/>
      <c r="K589" s="710"/>
      <c r="L589" s="710"/>
      <c r="M589" s="710"/>
      <c r="N589" s="710"/>
      <c r="O589" s="710"/>
      <c r="P589" s="710"/>
      <c r="Q589" s="710"/>
      <c r="R589" s="710"/>
    </row>
    <row r="590" spans="1:18">
      <c r="A590" s="716"/>
      <c r="B590" s="710"/>
      <c r="C590" s="710"/>
      <c r="D590" s="710"/>
      <c r="E590" s="710"/>
      <c r="F590" s="710"/>
      <c r="G590" s="710"/>
      <c r="H590" s="710"/>
      <c r="I590" s="710"/>
      <c r="J590" s="710"/>
      <c r="K590" s="710"/>
      <c r="L590" s="710"/>
      <c r="M590" s="710"/>
      <c r="N590" s="710"/>
      <c r="O590" s="710"/>
      <c r="P590" s="710"/>
      <c r="Q590" s="710"/>
      <c r="R590" s="710"/>
    </row>
    <row r="591" spans="1:18">
      <c r="A591" s="716"/>
      <c r="B591" s="710"/>
      <c r="C591" s="710"/>
      <c r="D591" s="710"/>
      <c r="E591" s="710"/>
      <c r="F591" s="710"/>
      <c r="G591" s="710"/>
      <c r="H591" s="710"/>
      <c r="I591" s="710"/>
      <c r="J591" s="710"/>
      <c r="K591" s="710"/>
      <c r="L591" s="710"/>
      <c r="M591" s="710"/>
      <c r="N591" s="710"/>
      <c r="O591" s="710"/>
      <c r="P591" s="710"/>
      <c r="Q591" s="710"/>
      <c r="R591" s="710"/>
    </row>
    <row r="592" spans="1:18">
      <c r="A592" s="716"/>
      <c r="B592" s="710"/>
      <c r="C592" s="710"/>
      <c r="D592" s="710"/>
      <c r="E592" s="710"/>
      <c r="F592" s="710"/>
      <c r="G592" s="710"/>
      <c r="H592" s="710"/>
      <c r="I592" s="710"/>
      <c r="J592" s="710"/>
      <c r="K592" s="710"/>
      <c r="L592" s="710"/>
      <c r="M592" s="710"/>
      <c r="N592" s="710"/>
      <c r="O592" s="710"/>
      <c r="P592" s="710"/>
      <c r="Q592" s="710"/>
      <c r="R592" s="710"/>
    </row>
    <row r="593" spans="1:18">
      <c r="A593" s="716"/>
      <c r="B593" s="710"/>
      <c r="C593" s="710"/>
      <c r="D593" s="710"/>
      <c r="E593" s="710"/>
      <c r="F593" s="710"/>
      <c r="G593" s="710"/>
      <c r="H593" s="710"/>
      <c r="I593" s="710"/>
      <c r="J593" s="710"/>
      <c r="K593" s="710"/>
      <c r="L593" s="710"/>
      <c r="M593" s="710"/>
      <c r="N593" s="710"/>
      <c r="O593" s="710"/>
      <c r="P593" s="710"/>
      <c r="Q593" s="710"/>
      <c r="R593" s="710"/>
    </row>
    <row r="594" spans="1:18">
      <c r="A594" s="716"/>
      <c r="B594" s="710"/>
      <c r="C594" s="710"/>
      <c r="D594" s="710"/>
      <c r="E594" s="710"/>
      <c r="F594" s="710"/>
      <c r="G594" s="710"/>
      <c r="H594" s="710"/>
      <c r="I594" s="710"/>
      <c r="J594" s="710"/>
      <c r="K594" s="710"/>
      <c r="L594" s="710"/>
      <c r="M594" s="710"/>
      <c r="N594" s="710"/>
      <c r="O594" s="710"/>
      <c r="P594" s="710"/>
      <c r="Q594" s="710"/>
      <c r="R594" s="710"/>
    </row>
    <row r="595" spans="1:18">
      <c r="A595" s="716"/>
      <c r="B595" s="710"/>
      <c r="C595" s="710"/>
      <c r="D595" s="710"/>
      <c r="E595" s="710"/>
      <c r="F595" s="710"/>
      <c r="G595" s="710"/>
      <c r="H595" s="710"/>
      <c r="I595" s="710"/>
      <c r="J595" s="710"/>
      <c r="K595" s="710"/>
      <c r="L595" s="710"/>
      <c r="M595" s="710"/>
      <c r="N595" s="710"/>
      <c r="O595" s="710"/>
      <c r="P595" s="710"/>
      <c r="Q595" s="710"/>
      <c r="R595" s="710"/>
    </row>
    <row r="596" spans="1:18">
      <c r="A596" s="716"/>
      <c r="B596" s="710"/>
      <c r="C596" s="710"/>
      <c r="D596" s="710"/>
      <c r="E596" s="710"/>
      <c r="F596" s="710"/>
      <c r="G596" s="710"/>
      <c r="H596" s="710"/>
      <c r="I596" s="710"/>
      <c r="J596" s="710"/>
      <c r="K596" s="710"/>
      <c r="L596" s="710"/>
      <c r="M596" s="710"/>
      <c r="N596" s="710"/>
      <c r="O596" s="710"/>
      <c r="P596" s="710"/>
      <c r="Q596" s="710"/>
      <c r="R596" s="710"/>
    </row>
    <row r="597" spans="1:18">
      <c r="A597" s="716"/>
      <c r="B597" s="710"/>
      <c r="C597" s="710"/>
      <c r="D597" s="710"/>
      <c r="E597" s="710"/>
      <c r="F597" s="710"/>
      <c r="G597" s="710"/>
      <c r="H597" s="710"/>
      <c r="I597" s="710"/>
      <c r="J597" s="710"/>
      <c r="K597" s="710"/>
      <c r="L597" s="710"/>
      <c r="M597" s="710"/>
      <c r="N597" s="710"/>
      <c r="O597" s="710"/>
      <c r="P597" s="710"/>
      <c r="Q597" s="710"/>
      <c r="R597" s="710"/>
    </row>
    <row r="598" spans="1:18">
      <c r="A598" s="716"/>
      <c r="B598" s="710"/>
      <c r="C598" s="710"/>
      <c r="D598" s="710"/>
      <c r="E598" s="710"/>
      <c r="F598" s="710"/>
      <c r="G598" s="710"/>
      <c r="H598" s="710"/>
      <c r="I598" s="710"/>
      <c r="J598" s="710"/>
      <c r="K598" s="710"/>
      <c r="L598" s="710"/>
      <c r="M598" s="710"/>
      <c r="N598" s="710"/>
      <c r="O598" s="710"/>
      <c r="P598" s="710"/>
      <c r="Q598" s="710"/>
      <c r="R598" s="710"/>
    </row>
    <row r="599" spans="1:18">
      <c r="A599" s="716"/>
      <c r="B599" s="710"/>
      <c r="C599" s="710"/>
      <c r="D599" s="710"/>
      <c r="E599" s="710"/>
      <c r="F599" s="710"/>
      <c r="G599" s="710"/>
      <c r="H599" s="710"/>
      <c r="I599" s="710"/>
      <c r="J599" s="710"/>
      <c r="K599" s="710"/>
      <c r="L599" s="710"/>
      <c r="M599" s="710"/>
      <c r="N599" s="710"/>
      <c r="O599" s="710"/>
      <c r="P599" s="710"/>
      <c r="Q599" s="710"/>
      <c r="R599" s="710"/>
    </row>
    <row r="600" spans="1:18">
      <c r="A600" s="716"/>
      <c r="B600" s="710"/>
      <c r="C600" s="710"/>
      <c r="D600" s="710"/>
      <c r="E600" s="710"/>
      <c r="F600" s="710"/>
      <c r="G600" s="710"/>
      <c r="H600" s="710"/>
      <c r="I600" s="710"/>
      <c r="J600" s="710"/>
      <c r="K600" s="710"/>
      <c r="L600" s="710"/>
      <c r="M600" s="710"/>
      <c r="N600" s="710"/>
      <c r="O600" s="710"/>
      <c r="P600" s="710"/>
      <c r="Q600" s="710"/>
      <c r="R600" s="710"/>
    </row>
    <row r="601" spans="1:18">
      <c r="A601" s="716"/>
      <c r="B601" s="710"/>
      <c r="C601" s="710"/>
      <c r="D601" s="710"/>
      <c r="E601" s="710"/>
      <c r="F601" s="710"/>
      <c r="G601" s="710"/>
      <c r="H601" s="710"/>
      <c r="I601" s="710"/>
      <c r="J601" s="710"/>
      <c r="K601" s="710"/>
      <c r="L601" s="710"/>
      <c r="M601" s="710"/>
      <c r="N601" s="710"/>
      <c r="O601" s="710"/>
      <c r="P601" s="710"/>
      <c r="Q601" s="710"/>
      <c r="R601" s="710"/>
    </row>
    <row r="602" spans="1:18">
      <c r="A602" s="716"/>
      <c r="B602" s="710"/>
      <c r="C602" s="710"/>
      <c r="D602" s="710"/>
      <c r="E602" s="710"/>
      <c r="F602" s="710"/>
      <c r="G602" s="710"/>
      <c r="H602" s="710"/>
      <c r="I602" s="710"/>
      <c r="J602" s="710"/>
      <c r="K602" s="710"/>
      <c r="L602" s="710"/>
      <c r="M602" s="710"/>
      <c r="N602" s="710"/>
      <c r="O602" s="710"/>
      <c r="P602" s="710"/>
      <c r="Q602" s="710"/>
      <c r="R602" s="710"/>
    </row>
    <row r="603" spans="1:18">
      <c r="A603" s="716"/>
      <c r="B603" s="710"/>
      <c r="C603" s="710"/>
      <c r="D603" s="710"/>
      <c r="E603" s="710"/>
      <c r="F603" s="710"/>
      <c r="G603" s="710"/>
      <c r="H603" s="710"/>
      <c r="I603" s="710"/>
      <c r="J603" s="710"/>
      <c r="K603" s="710"/>
      <c r="L603" s="710"/>
      <c r="M603" s="710"/>
      <c r="N603" s="710"/>
      <c r="O603" s="710"/>
      <c r="P603" s="710"/>
      <c r="Q603" s="710"/>
      <c r="R603" s="710"/>
    </row>
    <row r="604" spans="1:18">
      <c r="A604" s="716"/>
      <c r="B604" s="710"/>
      <c r="C604" s="710"/>
      <c r="D604" s="710"/>
      <c r="E604" s="710"/>
      <c r="F604" s="710"/>
      <c r="G604" s="710"/>
      <c r="H604" s="710"/>
      <c r="I604" s="710"/>
      <c r="J604" s="710"/>
      <c r="K604" s="710"/>
      <c r="L604" s="710"/>
      <c r="M604" s="710"/>
      <c r="N604" s="710"/>
      <c r="O604" s="710"/>
      <c r="P604" s="710"/>
      <c r="Q604" s="710"/>
      <c r="R604" s="710"/>
    </row>
    <row r="605" spans="1:18">
      <c r="A605" s="716"/>
      <c r="B605" s="710"/>
      <c r="C605" s="710"/>
      <c r="D605" s="710"/>
      <c r="E605" s="710"/>
      <c r="F605" s="710"/>
      <c r="G605" s="710"/>
      <c r="H605" s="710"/>
      <c r="I605" s="710"/>
      <c r="J605" s="710"/>
      <c r="K605" s="710"/>
      <c r="L605" s="710"/>
      <c r="M605" s="710"/>
      <c r="N605" s="710"/>
      <c r="O605" s="710"/>
      <c r="P605" s="710"/>
      <c r="Q605" s="710"/>
      <c r="R605" s="710"/>
    </row>
    <row r="606" spans="1:18">
      <c r="A606" s="716"/>
      <c r="B606" s="710"/>
      <c r="C606" s="710"/>
      <c r="D606" s="710"/>
      <c r="E606" s="710"/>
      <c r="F606" s="710"/>
      <c r="G606" s="710"/>
      <c r="H606" s="710"/>
      <c r="I606" s="710"/>
      <c r="J606" s="710"/>
      <c r="K606" s="710"/>
      <c r="L606" s="710"/>
      <c r="M606" s="710"/>
      <c r="N606" s="710"/>
      <c r="O606" s="710"/>
      <c r="P606" s="710"/>
      <c r="Q606" s="710"/>
      <c r="R606" s="710"/>
    </row>
    <row r="607" spans="1:18">
      <c r="A607" s="716"/>
      <c r="B607" s="710"/>
      <c r="C607" s="710"/>
      <c r="D607" s="710"/>
      <c r="E607" s="710"/>
      <c r="F607" s="710"/>
      <c r="G607" s="710"/>
      <c r="H607" s="710"/>
      <c r="I607" s="710"/>
      <c r="J607" s="710"/>
      <c r="K607" s="710"/>
      <c r="L607" s="710"/>
      <c r="M607" s="710"/>
      <c r="N607" s="710"/>
      <c r="O607" s="710"/>
      <c r="P607" s="710"/>
      <c r="Q607" s="710"/>
      <c r="R607" s="710"/>
    </row>
    <row r="608" spans="1:18">
      <c r="A608" s="716"/>
      <c r="B608" s="710"/>
      <c r="C608" s="710"/>
      <c r="D608" s="710"/>
      <c r="E608" s="710"/>
      <c r="F608" s="710"/>
      <c r="G608" s="710"/>
      <c r="H608" s="710"/>
      <c r="I608" s="710"/>
      <c r="J608" s="710"/>
      <c r="K608" s="710"/>
      <c r="L608" s="710"/>
      <c r="M608" s="710"/>
      <c r="N608" s="710"/>
      <c r="O608" s="710"/>
      <c r="P608" s="710"/>
      <c r="Q608" s="710"/>
      <c r="R608" s="710"/>
    </row>
    <row r="609" spans="1:18">
      <c r="A609" s="716"/>
      <c r="B609" s="710"/>
      <c r="C609" s="710"/>
      <c r="D609" s="710"/>
      <c r="E609" s="710"/>
      <c r="F609" s="710"/>
      <c r="G609" s="710"/>
      <c r="H609" s="710"/>
      <c r="I609" s="710"/>
      <c r="J609" s="710"/>
      <c r="K609" s="710"/>
      <c r="L609" s="710"/>
      <c r="M609" s="710"/>
      <c r="N609" s="710"/>
      <c r="O609" s="710"/>
      <c r="P609" s="710"/>
      <c r="Q609" s="710"/>
      <c r="R609" s="710"/>
    </row>
    <row r="610" spans="1:18">
      <c r="A610" s="716"/>
      <c r="B610" s="710"/>
      <c r="C610" s="710"/>
      <c r="D610" s="710"/>
      <c r="E610" s="710"/>
      <c r="F610" s="710"/>
      <c r="G610" s="710"/>
      <c r="H610" s="710"/>
      <c r="I610" s="710"/>
      <c r="J610" s="710"/>
      <c r="K610" s="710"/>
      <c r="L610" s="710"/>
      <c r="M610" s="710"/>
      <c r="N610" s="710"/>
      <c r="O610" s="710"/>
      <c r="P610" s="710"/>
      <c r="Q610" s="710"/>
      <c r="R610" s="710"/>
    </row>
    <row r="611" spans="1:18">
      <c r="A611" s="716"/>
      <c r="B611" s="710"/>
      <c r="C611" s="710"/>
      <c r="D611" s="710"/>
      <c r="E611" s="710"/>
      <c r="F611" s="710"/>
      <c r="G611" s="710"/>
      <c r="H611" s="710"/>
      <c r="I611" s="710"/>
      <c r="J611" s="710"/>
      <c r="K611" s="710"/>
      <c r="L611" s="710"/>
      <c r="M611" s="710"/>
      <c r="N611" s="710"/>
      <c r="O611" s="710"/>
      <c r="P611" s="710"/>
      <c r="Q611" s="710"/>
      <c r="R611" s="710"/>
    </row>
    <row r="612" spans="1:18">
      <c r="A612" s="716"/>
      <c r="B612" s="710"/>
      <c r="C612" s="710"/>
      <c r="D612" s="710"/>
      <c r="E612" s="710"/>
      <c r="F612" s="710"/>
      <c r="G612" s="710"/>
      <c r="H612" s="710"/>
      <c r="I612" s="710"/>
      <c r="J612" s="710"/>
      <c r="K612" s="710"/>
      <c r="L612" s="710"/>
      <c r="M612" s="710"/>
      <c r="N612" s="710"/>
      <c r="O612" s="710"/>
      <c r="P612" s="710"/>
      <c r="Q612" s="710"/>
      <c r="R612" s="710"/>
    </row>
    <row r="613" spans="1:18">
      <c r="A613" s="716"/>
      <c r="B613" s="710"/>
      <c r="C613" s="710"/>
      <c r="D613" s="710"/>
      <c r="E613" s="710"/>
      <c r="F613" s="710"/>
      <c r="G613" s="710"/>
      <c r="H613" s="710"/>
      <c r="I613" s="710"/>
      <c r="J613" s="710"/>
      <c r="K613" s="710"/>
      <c r="L613" s="710"/>
      <c r="M613" s="710"/>
      <c r="N613" s="710"/>
      <c r="O613" s="710"/>
      <c r="P613" s="710"/>
      <c r="Q613" s="710"/>
      <c r="R613" s="710"/>
    </row>
    <row r="614" spans="1:18">
      <c r="A614" s="716"/>
      <c r="B614" s="710"/>
      <c r="C614" s="710"/>
      <c r="D614" s="710"/>
      <c r="E614" s="710"/>
      <c r="F614" s="710"/>
      <c r="G614" s="710"/>
      <c r="H614" s="710"/>
      <c r="I614" s="710"/>
      <c r="J614" s="710"/>
      <c r="K614" s="710"/>
      <c r="L614" s="710"/>
      <c r="M614" s="710"/>
      <c r="N614" s="710"/>
      <c r="O614" s="710"/>
      <c r="P614" s="710"/>
      <c r="Q614" s="710"/>
      <c r="R614" s="710"/>
    </row>
    <row r="615" spans="1:18">
      <c r="A615" s="716"/>
      <c r="B615" s="710"/>
      <c r="C615" s="710"/>
      <c r="D615" s="710"/>
      <c r="E615" s="710"/>
      <c r="F615" s="710"/>
      <c r="G615" s="710"/>
      <c r="H615" s="710"/>
      <c r="I615" s="710"/>
      <c r="J615" s="710"/>
      <c r="K615" s="710"/>
      <c r="L615" s="710"/>
      <c r="M615" s="710"/>
      <c r="N615" s="710"/>
      <c r="O615" s="710"/>
      <c r="P615" s="710"/>
      <c r="Q615" s="710"/>
      <c r="R615" s="710"/>
    </row>
    <row r="1048556" spans="8:8">
      <c r="H1048556" s="549" t="s">
        <v>415</v>
      </c>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theme="0"/>
  </sheetPr>
  <dimension ref="A1:G170"/>
  <sheetViews>
    <sheetView zoomScaleNormal="100" workbookViewId="0">
      <pane ySplit="6" topLeftCell="A152" activePane="bottomLeft" state="frozen"/>
      <selection pane="bottomLeft" activeCell="C1" sqref="C1"/>
    </sheetView>
  </sheetViews>
  <sheetFormatPr defaultColWidth="9.1328125" defaultRowHeight="14.25"/>
  <cols>
    <col min="1" max="1" width="9.73046875" style="549" customWidth="1"/>
    <col min="2" max="2" width="17.1328125" style="549" customWidth="1"/>
    <col min="3" max="3" width="16.59765625" style="549" customWidth="1"/>
    <col min="4" max="4" width="19.73046875" style="549" customWidth="1"/>
    <col min="5" max="5" width="16.1328125" style="549" customWidth="1"/>
    <col min="6" max="16384" width="9.1328125" style="549"/>
  </cols>
  <sheetData>
    <row r="1" spans="1:7">
      <c r="A1" s="524" t="str">
        <f>IF(språk=lista[[#Headers],[Svenska]],"Innehåll",IF(språk=lista[[#Headers],[English]],"Contents","FEL"))</f>
        <v>Contents</v>
      </c>
    </row>
    <row r="3" spans="1:7" ht="15.75">
      <c r="A3" s="421" t="str">
        <f>IFERROR(INDEX(lista[],MATCH($A5,lista[ID],0),MATCH(språk,lista[#Headers],0)),"")</f>
        <v>Distribution of different types of contracts for household customers, from april 2004, percent</v>
      </c>
    </row>
    <row r="5" spans="1:7" hidden="1">
      <c r="A5" s="549">
        <v>47</v>
      </c>
      <c r="B5" s="549" t="s">
        <v>647</v>
      </c>
      <c r="C5" s="549" t="s">
        <v>648</v>
      </c>
      <c r="D5" s="549" t="s">
        <v>649</v>
      </c>
      <c r="E5" s="549" t="s">
        <v>650</v>
      </c>
    </row>
    <row r="6" spans="1:7" ht="33" customHeight="1">
      <c r="A6" s="983"/>
      <c r="B6" s="189" t="str">
        <f>IFERROR(INDEX(_6.13[],MATCH(språk,_6.13[[id]:[id]],0),MATCH(B$5,_6.13[#Headers],0)),"")</f>
        <v xml:space="preserve">Designated contract </v>
      </c>
      <c r="C6" s="189" t="str">
        <f>IFERROR(INDEX(_6.13[],MATCH(språk,_6.13[[id]:[id]],0),MATCH(C$5,_6.13[#Headers],0)),"")</f>
        <v>Variable price</v>
      </c>
      <c r="D6" s="189" t="str">
        <f>IFERROR(INDEX(_6.13[],MATCH(språk,_6.13[[id]:[id]],0),MATCH(D$5,_6.13[#Headers],0)),"")</f>
        <v>Fixed price 1–3 years</v>
      </c>
      <c r="E6" s="189" t="str">
        <f>IFERROR(INDEX(_6.13[],MATCH(språk,_6.13[[id]:[id]],0),MATCH(E$5,_6.13[#Headers],0)),"")</f>
        <v>Other contracts1</v>
      </c>
      <c r="G6" s="705"/>
    </row>
    <row r="7" spans="1:7">
      <c r="A7" s="934">
        <v>38078</v>
      </c>
      <c r="B7" s="801">
        <v>57.4</v>
      </c>
      <c r="C7" s="801">
        <v>3.1</v>
      </c>
      <c r="D7" s="801">
        <v>39.5</v>
      </c>
      <c r="E7" s="801"/>
    </row>
    <row r="8" spans="1:7">
      <c r="A8" s="935">
        <v>38108</v>
      </c>
      <c r="B8" s="706">
        <v>56.753948053670413</v>
      </c>
      <c r="C8" s="706">
        <v>3.7229766724564204</v>
      </c>
      <c r="D8" s="706">
        <v>39.523075273873161</v>
      </c>
      <c r="E8" s="706"/>
    </row>
    <row r="9" spans="1:7">
      <c r="A9" s="934">
        <v>38139</v>
      </c>
      <c r="B9" s="801">
        <v>56.4</v>
      </c>
      <c r="C9" s="801">
        <v>3.3</v>
      </c>
      <c r="D9" s="801">
        <v>40.299999999999997</v>
      </c>
      <c r="E9" s="801"/>
    </row>
    <row r="10" spans="1:7">
      <c r="A10" s="935">
        <v>38169</v>
      </c>
      <c r="B10" s="706">
        <v>54.7</v>
      </c>
      <c r="C10" s="706">
        <v>3.3</v>
      </c>
      <c r="D10" s="706">
        <v>42</v>
      </c>
      <c r="E10" s="706"/>
    </row>
    <row r="11" spans="1:7">
      <c r="A11" s="934">
        <v>38200</v>
      </c>
      <c r="B11" s="801">
        <v>55.2</v>
      </c>
      <c r="C11" s="801">
        <v>3.7</v>
      </c>
      <c r="D11" s="801">
        <v>41.099999999999994</v>
      </c>
      <c r="E11" s="801"/>
    </row>
    <row r="12" spans="1:7">
      <c r="A12" s="935">
        <v>38231</v>
      </c>
      <c r="B12" s="706">
        <v>55</v>
      </c>
      <c r="C12" s="706">
        <v>3.7</v>
      </c>
      <c r="D12" s="706">
        <v>41.3</v>
      </c>
      <c r="E12" s="706"/>
    </row>
    <row r="13" spans="1:7">
      <c r="A13" s="934">
        <v>38261</v>
      </c>
      <c r="B13" s="801">
        <v>53.7</v>
      </c>
      <c r="C13" s="801">
        <v>4</v>
      </c>
      <c r="D13" s="801">
        <v>42.3</v>
      </c>
      <c r="E13" s="801"/>
    </row>
    <row r="14" spans="1:7">
      <c r="A14" s="935">
        <v>38292</v>
      </c>
      <c r="B14" s="706">
        <v>53.5</v>
      </c>
      <c r="C14" s="706">
        <v>3.7</v>
      </c>
      <c r="D14" s="706">
        <v>42.8</v>
      </c>
      <c r="E14" s="706"/>
    </row>
    <row r="15" spans="1:7">
      <c r="A15" s="934">
        <v>38322</v>
      </c>
      <c r="B15" s="801">
        <v>52.3</v>
      </c>
      <c r="C15" s="801">
        <v>3.7</v>
      </c>
      <c r="D15" s="801">
        <v>44</v>
      </c>
      <c r="E15" s="801"/>
    </row>
    <row r="16" spans="1:7">
      <c r="A16" s="935">
        <v>38353</v>
      </c>
      <c r="B16" s="706">
        <v>52.2</v>
      </c>
      <c r="C16" s="706">
        <v>3.7</v>
      </c>
      <c r="D16" s="706">
        <v>44.1</v>
      </c>
      <c r="E16" s="706"/>
    </row>
    <row r="17" spans="1:5">
      <c r="A17" s="934">
        <v>38384</v>
      </c>
      <c r="B17" s="801">
        <v>51.3</v>
      </c>
      <c r="C17" s="801">
        <v>3.7</v>
      </c>
      <c r="D17" s="801">
        <v>45</v>
      </c>
      <c r="E17" s="801"/>
    </row>
    <row r="18" spans="1:5">
      <c r="A18" s="935">
        <v>38412</v>
      </c>
      <c r="B18" s="706">
        <v>49.8</v>
      </c>
      <c r="C18" s="706">
        <v>3.9</v>
      </c>
      <c r="D18" s="706">
        <v>46.4</v>
      </c>
      <c r="E18" s="706"/>
    </row>
    <row r="19" spans="1:5">
      <c r="A19" s="934">
        <v>38443</v>
      </c>
      <c r="B19" s="801">
        <v>49.7</v>
      </c>
      <c r="C19" s="801">
        <v>3.9</v>
      </c>
      <c r="D19" s="801">
        <v>46.400000000000006</v>
      </c>
      <c r="E19" s="801"/>
    </row>
    <row r="20" spans="1:5">
      <c r="A20" s="935">
        <v>38473</v>
      </c>
      <c r="B20" s="706">
        <v>49.6</v>
      </c>
      <c r="C20" s="706">
        <v>4</v>
      </c>
      <c r="D20" s="706">
        <v>46.4</v>
      </c>
      <c r="E20" s="706"/>
    </row>
    <row r="21" spans="1:5">
      <c r="A21" s="934">
        <v>38504</v>
      </c>
      <c r="B21" s="801">
        <v>49.6</v>
      </c>
      <c r="C21" s="801">
        <v>4.2</v>
      </c>
      <c r="D21" s="801">
        <v>46.3</v>
      </c>
      <c r="E21" s="801"/>
    </row>
    <row r="22" spans="1:5">
      <c r="A22" s="935">
        <v>38534</v>
      </c>
      <c r="B22" s="706">
        <v>49.6</v>
      </c>
      <c r="C22" s="706">
        <v>4.0999999999999996</v>
      </c>
      <c r="D22" s="706">
        <v>46.3</v>
      </c>
      <c r="E22" s="706"/>
    </row>
    <row r="23" spans="1:5">
      <c r="A23" s="934">
        <v>38565</v>
      </c>
      <c r="B23" s="801">
        <v>49.7</v>
      </c>
      <c r="C23" s="801">
        <v>4.3</v>
      </c>
      <c r="D23" s="801">
        <v>46</v>
      </c>
      <c r="E23" s="801"/>
    </row>
    <row r="24" spans="1:5">
      <c r="A24" s="935">
        <v>38596</v>
      </c>
      <c r="B24" s="706">
        <v>49.8</v>
      </c>
      <c r="C24" s="706">
        <v>4.5</v>
      </c>
      <c r="D24" s="706">
        <v>45.7</v>
      </c>
      <c r="E24" s="706"/>
    </row>
    <row r="25" spans="1:5">
      <c r="A25" s="934">
        <v>38626</v>
      </c>
      <c r="B25" s="801">
        <v>49.6</v>
      </c>
      <c r="C25" s="801">
        <v>5</v>
      </c>
      <c r="D25" s="801">
        <v>45.4</v>
      </c>
      <c r="E25" s="801"/>
    </row>
    <row r="26" spans="1:5">
      <c r="A26" s="935">
        <v>38657</v>
      </c>
      <c r="B26" s="706">
        <v>49.7</v>
      </c>
      <c r="C26" s="706">
        <v>5.3</v>
      </c>
      <c r="D26" s="706">
        <v>45</v>
      </c>
      <c r="E26" s="706"/>
    </row>
    <row r="27" spans="1:5">
      <c r="A27" s="934">
        <v>38687</v>
      </c>
      <c r="B27" s="801">
        <v>49.1</v>
      </c>
      <c r="C27" s="801">
        <v>5.8</v>
      </c>
      <c r="D27" s="801">
        <v>45.099999999999994</v>
      </c>
      <c r="E27" s="801"/>
    </row>
    <row r="28" spans="1:5">
      <c r="A28" s="935">
        <v>38718</v>
      </c>
      <c r="B28" s="706">
        <v>49.1</v>
      </c>
      <c r="C28" s="706">
        <v>6.2</v>
      </c>
      <c r="D28" s="706">
        <v>44.7</v>
      </c>
      <c r="E28" s="706"/>
    </row>
    <row r="29" spans="1:5">
      <c r="A29" s="934">
        <v>38749</v>
      </c>
      <c r="B29" s="801">
        <v>48.6</v>
      </c>
      <c r="C29" s="801">
        <v>6.8</v>
      </c>
      <c r="D29" s="801">
        <v>44.599999999999994</v>
      </c>
      <c r="E29" s="801"/>
    </row>
    <row r="30" spans="1:5">
      <c r="A30" s="935">
        <v>38777</v>
      </c>
      <c r="B30" s="706">
        <v>48.6</v>
      </c>
      <c r="C30" s="706">
        <v>6.9</v>
      </c>
      <c r="D30" s="706">
        <v>44.5</v>
      </c>
      <c r="E30" s="706"/>
    </row>
    <row r="31" spans="1:5">
      <c r="A31" s="934">
        <v>38808</v>
      </c>
      <c r="B31" s="801">
        <v>48.3</v>
      </c>
      <c r="C31" s="801">
        <v>7.3</v>
      </c>
      <c r="D31" s="801">
        <v>44.4</v>
      </c>
      <c r="E31" s="801"/>
    </row>
    <row r="32" spans="1:5">
      <c r="A32" s="935">
        <v>38838</v>
      </c>
      <c r="B32" s="706">
        <v>48.1</v>
      </c>
      <c r="C32" s="706">
        <v>7.5</v>
      </c>
      <c r="D32" s="706">
        <v>44.4</v>
      </c>
      <c r="E32" s="706"/>
    </row>
    <row r="33" spans="1:5">
      <c r="A33" s="934">
        <v>38869</v>
      </c>
      <c r="B33" s="801">
        <v>48.1</v>
      </c>
      <c r="C33" s="801">
        <v>7.8</v>
      </c>
      <c r="D33" s="801">
        <v>44.1</v>
      </c>
      <c r="E33" s="801"/>
    </row>
    <row r="34" spans="1:5">
      <c r="A34" s="935">
        <v>38899</v>
      </c>
      <c r="B34" s="706">
        <v>48.1</v>
      </c>
      <c r="C34" s="706">
        <v>8.1999999999999993</v>
      </c>
      <c r="D34" s="706">
        <v>43.7</v>
      </c>
      <c r="E34" s="706"/>
    </row>
    <row r="35" spans="1:5">
      <c r="A35" s="934">
        <v>38930</v>
      </c>
      <c r="B35" s="801">
        <v>48.2</v>
      </c>
      <c r="C35" s="801">
        <v>8.6999999999999993</v>
      </c>
      <c r="D35" s="801">
        <v>43.1</v>
      </c>
      <c r="E35" s="801"/>
    </row>
    <row r="36" spans="1:5">
      <c r="A36" s="935">
        <v>38961</v>
      </c>
      <c r="B36" s="706">
        <v>47.8</v>
      </c>
      <c r="C36" s="706">
        <v>8.8000000000000007</v>
      </c>
      <c r="D36" s="706">
        <v>43.400000000000006</v>
      </c>
      <c r="E36" s="706"/>
    </row>
    <row r="37" spans="1:5">
      <c r="A37" s="934">
        <v>38991</v>
      </c>
      <c r="B37" s="801">
        <v>47.7</v>
      </c>
      <c r="C37" s="801">
        <v>8.6999999999999993</v>
      </c>
      <c r="D37" s="801">
        <v>43.6</v>
      </c>
      <c r="E37" s="801"/>
    </row>
    <row r="38" spans="1:5">
      <c r="A38" s="935">
        <v>39022</v>
      </c>
      <c r="B38" s="706">
        <v>47.4</v>
      </c>
      <c r="C38" s="706">
        <v>8.6999999999999993</v>
      </c>
      <c r="D38" s="706">
        <v>43.900000000000006</v>
      </c>
      <c r="E38" s="706"/>
    </row>
    <row r="39" spans="1:5">
      <c r="A39" s="934">
        <v>39052</v>
      </c>
      <c r="B39" s="801">
        <v>45.1</v>
      </c>
      <c r="C39" s="801">
        <v>10.3</v>
      </c>
      <c r="D39" s="801">
        <v>44.599999999999994</v>
      </c>
      <c r="E39" s="801"/>
    </row>
    <row r="40" spans="1:5">
      <c r="A40" s="935">
        <v>39083</v>
      </c>
      <c r="B40" s="706">
        <v>45.1</v>
      </c>
      <c r="C40" s="706">
        <v>10.199999999999999</v>
      </c>
      <c r="D40" s="706">
        <v>44.7</v>
      </c>
      <c r="E40" s="706"/>
    </row>
    <row r="41" spans="1:5">
      <c r="A41" s="934">
        <v>39114</v>
      </c>
      <c r="B41" s="801">
        <v>44.2</v>
      </c>
      <c r="C41" s="801">
        <v>10.3</v>
      </c>
      <c r="D41" s="801">
        <v>45.5</v>
      </c>
      <c r="E41" s="801"/>
    </row>
    <row r="42" spans="1:5">
      <c r="A42" s="935">
        <v>39142</v>
      </c>
      <c r="B42" s="706">
        <v>43.7</v>
      </c>
      <c r="C42" s="706">
        <v>10.5</v>
      </c>
      <c r="D42" s="706">
        <v>45.800000000000004</v>
      </c>
      <c r="E42" s="706"/>
    </row>
    <row r="43" spans="1:5">
      <c r="A43" s="934">
        <v>39173</v>
      </c>
      <c r="B43" s="801">
        <v>43</v>
      </c>
      <c r="C43" s="801">
        <v>10.9</v>
      </c>
      <c r="D43" s="801">
        <v>46.099999999999994</v>
      </c>
      <c r="E43" s="801"/>
    </row>
    <row r="44" spans="1:5">
      <c r="A44" s="935">
        <v>39203</v>
      </c>
      <c r="B44" s="706">
        <v>41.3</v>
      </c>
      <c r="C44" s="706">
        <v>12.5</v>
      </c>
      <c r="D44" s="706">
        <v>46.2</v>
      </c>
      <c r="E44" s="706"/>
    </row>
    <row r="45" spans="1:5">
      <c r="A45" s="934">
        <v>39234</v>
      </c>
      <c r="B45" s="801">
        <v>40.6</v>
      </c>
      <c r="C45" s="801">
        <v>12.8</v>
      </c>
      <c r="D45" s="801">
        <v>46.6</v>
      </c>
      <c r="E45" s="801"/>
    </row>
    <row r="46" spans="1:5">
      <c r="A46" s="935">
        <v>39264</v>
      </c>
      <c r="B46" s="706">
        <v>40.1</v>
      </c>
      <c r="C46" s="706">
        <v>13</v>
      </c>
      <c r="D46" s="706">
        <v>46.900000000000006</v>
      </c>
      <c r="E46" s="706"/>
    </row>
    <row r="47" spans="1:5">
      <c r="A47" s="934">
        <v>39295</v>
      </c>
      <c r="B47" s="801">
        <v>40.1</v>
      </c>
      <c r="C47" s="801">
        <v>13.6</v>
      </c>
      <c r="D47" s="801">
        <v>46.3</v>
      </c>
      <c r="E47" s="801"/>
    </row>
    <row r="48" spans="1:5">
      <c r="A48" s="935">
        <v>39326</v>
      </c>
      <c r="B48" s="706">
        <v>38.9</v>
      </c>
      <c r="C48" s="706">
        <v>14.5</v>
      </c>
      <c r="D48" s="706">
        <v>46.6</v>
      </c>
      <c r="E48" s="706"/>
    </row>
    <row r="49" spans="1:5">
      <c r="A49" s="934">
        <v>39356</v>
      </c>
      <c r="B49" s="801">
        <v>39</v>
      </c>
      <c r="C49" s="801">
        <v>15</v>
      </c>
      <c r="D49" s="801">
        <v>46</v>
      </c>
      <c r="E49" s="801"/>
    </row>
    <row r="50" spans="1:5">
      <c r="A50" s="935">
        <v>39387</v>
      </c>
      <c r="B50" s="706">
        <v>38.9</v>
      </c>
      <c r="C50" s="706">
        <v>15.3</v>
      </c>
      <c r="D50" s="706">
        <v>45.8</v>
      </c>
      <c r="E50" s="706"/>
    </row>
    <row r="51" spans="1:5">
      <c r="A51" s="934">
        <v>39417</v>
      </c>
      <c r="B51" s="801">
        <v>38.6</v>
      </c>
      <c r="C51" s="801">
        <v>15.5</v>
      </c>
      <c r="D51" s="801">
        <v>45.900000000000006</v>
      </c>
      <c r="E51" s="801"/>
    </row>
    <row r="52" spans="1:5">
      <c r="A52" s="935">
        <v>39448</v>
      </c>
      <c r="B52" s="706">
        <v>38.299999999999997</v>
      </c>
      <c r="C52" s="706">
        <v>16.2</v>
      </c>
      <c r="D52" s="706">
        <v>41.3</v>
      </c>
      <c r="E52" s="706">
        <v>4.2</v>
      </c>
    </row>
    <row r="53" spans="1:5">
      <c r="A53" s="934">
        <v>39479</v>
      </c>
      <c r="B53" s="801">
        <v>38.200000000000003</v>
      </c>
      <c r="C53" s="801">
        <v>16.7</v>
      </c>
      <c r="D53" s="801">
        <v>39.799999999999997</v>
      </c>
      <c r="E53" s="801">
        <v>5.3</v>
      </c>
    </row>
    <row r="54" spans="1:5">
      <c r="A54" s="935">
        <v>39508</v>
      </c>
      <c r="B54" s="706">
        <v>37.9</v>
      </c>
      <c r="C54" s="706">
        <v>17.399999999999999</v>
      </c>
      <c r="D54" s="706">
        <v>39.4</v>
      </c>
      <c r="E54" s="706">
        <v>5.3</v>
      </c>
    </row>
    <row r="55" spans="1:5">
      <c r="A55" s="934">
        <v>39539</v>
      </c>
      <c r="B55" s="801">
        <v>37.5</v>
      </c>
      <c r="C55" s="801">
        <v>18</v>
      </c>
      <c r="D55" s="801">
        <v>39.099999999999994</v>
      </c>
      <c r="E55" s="801">
        <v>5.4</v>
      </c>
    </row>
    <row r="56" spans="1:5">
      <c r="A56" s="935">
        <v>39569</v>
      </c>
      <c r="B56" s="706">
        <v>37.1</v>
      </c>
      <c r="C56" s="706">
        <v>18.5</v>
      </c>
      <c r="D56" s="706">
        <v>38.799999999999997</v>
      </c>
      <c r="E56" s="706">
        <v>5.6</v>
      </c>
    </row>
    <row r="57" spans="1:5">
      <c r="A57" s="934">
        <v>39600</v>
      </c>
      <c r="B57" s="801">
        <v>36.5</v>
      </c>
      <c r="C57" s="801">
        <v>19.100000000000001</v>
      </c>
      <c r="D57" s="801">
        <v>38.6</v>
      </c>
      <c r="E57" s="801">
        <v>5.8</v>
      </c>
    </row>
    <row r="58" spans="1:5">
      <c r="A58" s="935">
        <v>39630</v>
      </c>
      <c r="B58" s="706">
        <v>36.299999999999997</v>
      </c>
      <c r="C58" s="706">
        <v>19.600000000000001</v>
      </c>
      <c r="D58" s="706">
        <v>38.200000000000003</v>
      </c>
      <c r="E58" s="706">
        <v>5.9</v>
      </c>
    </row>
    <row r="59" spans="1:5">
      <c r="A59" s="934">
        <v>39661</v>
      </c>
      <c r="B59" s="801">
        <v>36.200000000000003</v>
      </c>
      <c r="C59" s="801">
        <v>20.3</v>
      </c>
      <c r="D59" s="801">
        <v>37.299999999999997</v>
      </c>
      <c r="E59" s="801">
        <v>6.2</v>
      </c>
    </row>
    <row r="60" spans="1:5">
      <c r="A60" s="935">
        <v>39692</v>
      </c>
      <c r="B60" s="706">
        <v>36</v>
      </c>
      <c r="C60" s="706">
        <v>20.8</v>
      </c>
      <c r="D60" s="706">
        <v>37.200000000000003</v>
      </c>
      <c r="E60" s="706">
        <v>6</v>
      </c>
    </row>
    <row r="61" spans="1:5">
      <c r="A61" s="934">
        <v>39722</v>
      </c>
      <c r="B61" s="801">
        <v>35.700000000000003</v>
      </c>
      <c r="C61" s="801">
        <v>21.3</v>
      </c>
      <c r="D61" s="801">
        <v>36.599999999999994</v>
      </c>
      <c r="E61" s="801">
        <v>6.4</v>
      </c>
    </row>
    <row r="62" spans="1:5">
      <c r="A62" s="935">
        <v>39753</v>
      </c>
      <c r="B62" s="706">
        <v>35.299999999999997</v>
      </c>
      <c r="C62" s="706">
        <v>21.6</v>
      </c>
      <c r="D62" s="706">
        <v>36.599999999999994</v>
      </c>
      <c r="E62" s="706">
        <v>6.5</v>
      </c>
    </row>
    <row r="63" spans="1:5">
      <c r="A63" s="934">
        <v>39783</v>
      </c>
      <c r="B63" s="801">
        <v>34.700000000000003</v>
      </c>
      <c r="C63" s="801">
        <v>21.9</v>
      </c>
      <c r="D63" s="801">
        <v>36.799999999999997</v>
      </c>
      <c r="E63" s="801">
        <v>6.6</v>
      </c>
    </row>
    <row r="64" spans="1:5">
      <c r="A64" s="935">
        <v>39814</v>
      </c>
      <c r="B64" s="706">
        <v>34.1</v>
      </c>
      <c r="C64" s="706">
        <v>22.4</v>
      </c>
      <c r="D64" s="706">
        <v>36.900000000000006</v>
      </c>
      <c r="E64" s="706">
        <v>6.6</v>
      </c>
    </row>
    <row r="65" spans="1:5">
      <c r="A65" s="934">
        <v>39845</v>
      </c>
      <c r="B65" s="801">
        <v>33.5</v>
      </c>
      <c r="C65" s="801">
        <v>22.7</v>
      </c>
      <c r="D65" s="801">
        <v>36.400000000000006</v>
      </c>
      <c r="E65" s="801">
        <v>7.4</v>
      </c>
    </row>
    <row r="66" spans="1:5">
      <c r="A66" s="935">
        <v>39873</v>
      </c>
      <c r="B66" s="706">
        <v>32.799999999999997</v>
      </c>
      <c r="C66" s="706">
        <v>22.3</v>
      </c>
      <c r="D66" s="706">
        <v>36.700000000000003</v>
      </c>
      <c r="E66" s="706">
        <v>8.1999999999999993</v>
      </c>
    </row>
    <row r="67" spans="1:5">
      <c r="A67" s="934">
        <v>39904</v>
      </c>
      <c r="B67" s="801">
        <v>29.5</v>
      </c>
      <c r="C67" s="801">
        <v>26.8</v>
      </c>
      <c r="D67" s="801">
        <v>36</v>
      </c>
      <c r="E67" s="801">
        <v>7.7</v>
      </c>
    </row>
    <row r="68" spans="1:5">
      <c r="A68" s="935">
        <v>39934</v>
      </c>
      <c r="B68" s="706">
        <v>29</v>
      </c>
      <c r="C68" s="706">
        <v>27.1</v>
      </c>
      <c r="D68" s="706">
        <v>36.200000000000003</v>
      </c>
      <c r="E68" s="706">
        <v>7.7</v>
      </c>
    </row>
    <row r="69" spans="1:5">
      <c r="A69" s="934">
        <v>39965</v>
      </c>
      <c r="B69" s="801">
        <v>28.2</v>
      </c>
      <c r="C69" s="801">
        <v>27.1</v>
      </c>
      <c r="D69" s="801">
        <v>36.9</v>
      </c>
      <c r="E69" s="801">
        <v>7.8</v>
      </c>
    </row>
    <row r="70" spans="1:5">
      <c r="A70" s="935">
        <v>39995</v>
      </c>
      <c r="B70" s="706">
        <v>27.7</v>
      </c>
      <c r="C70" s="706">
        <v>27.6</v>
      </c>
      <c r="D70" s="706">
        <v>36.799999999999997</v>
      </c>
      <c r="E70" s="706">
        <v>7.9</v>
      </c>
    </row>
    <row r="71" spans="1:5">
      <c r="A71" s="934">
        <v>40026</v>
      </c>
      <c r="B71" s="801">
        <v>27.2</v>
      </c>
      <c r="C71" s="801">
        <v>27.8</v>
      </c>
      <c r="D71" s="801">
        <v>37.200000000000003</v>
      </c>
      <c r="E71" s="801">
        <v>7.8</v>
      </c>
    </row>
    <row r="72" spans="1:5">
      <c r="A72" s="935">
        <v>40057</v>
      </c>
      <c r="B72" s="706">
        <v>26.8</v>
      </c>
      <c r="C72" s="706">
        <v>28.3</v>
      </c>
      <c r="D72" s="706">
        <v>37.200000000000003</v>
      </c>
      <c r="E72" s="706">
        <v>7.7</v>
      </c>
    </row>
    <row r="73" spans="1:5">
      <c r="A73" s="934">
        <v>40087</v>
      </c>
      <c r="B73" s="801">
        <v>26.4</v>
      </c>
      <c r="C73" s="801">
        <v>29.1</v>
      </c>
      <c r="D73" s="801">
        <v>37.200000000000003</v>
      </c>
      <c r="E73" s="801">
        <v>7.3</v>
      </c>
    </row>
    <row r="74" spans="1:5">
      <c r="A74" s="935">
        <v>40118</v>
      </c>
      <c r="B74" s="706">
        <v>26</v>
      </c>
      <c r="C74" s="706">
        <v>29.3</v>
      </c>
      <c r="D74" s="706">
        <v>37.400000000000006</v>
      </c>
      <c r="E74" s="706">
        <v>7.3</v>
      </c>
    </row>
    <row r="75" spans="1:5">
      <c r="A75" s="934">
        <v>40148</v>
      </c>
      <c r="B75" s="801">
        <v>25.7</v>
      </c>
      <c r="C75" s="801">
        <v>29.8</v>
      </c>
      <c r="D75" s="801">
        <v>37.6</v>
      </c>
      <c r="E75" s="801">
        <v>6.9</v>
      </c>
    </row>
    <row r="76" spans="1:5">
      <c r="A76" s="935">
        <v>40179</v>
      </c>
      <c r="B76" s="706">
        <v>25.4</v>
      </c>
      <c r="C76" s="706">
        <v>30</v>
      </c>
      <c r="D76" s="706">
        <v>37.4</v>
      </c>
      <c r="E76" s="706">
        <v>7.2</v>
      </c>
    </row>
    <row r="77" spans="1:5">
      <c r="A77" s="934">
        <v>40210</v>
      </c>
      <c r="B77" s="801">
        <v>25.2</v>
      </c>
      <c r="C77" s="801">
        <v>30.2</v>
      </c>
      <c r="D77" s="801">
        <v>37.5</v>
      </c>
      <c r="E77" s="801">
        <v>7.1</v>
      </c>
    </row>
    <row r="78" spans="1:5">
      <c r="A78" s="935">
        <v>40238</v>
      </c>
      <c r="B78" s="706">
        <v>24.9</v>
      </c>
      <c r="C78" s="706">
        <v>30.2</v>
      </c>
      <c r="D78" s="706">
        <v>37.400000000000006</v>
      </c>
      <c r="E78" s="706">
        <v>7.5</v>
      </c>
    </row>
    <row r="79" spans="1:5">
      <c r="A79" s="934">
        <v>40269</v>
      </c>
      <c r="B79" s="801">
        <v>24.9</v>
      </c>
      <c r="C79" s="801">
        <v>30.1</v>
      </c>
      <c r="D79" s="801">
        <v>37.799999999999997</v>
      </c>
      <c r="E79" s="801">
        <v>7.2</v>
      </c>
    </row>
    <row r="80" spans="1:5">
      <c r="A80" s="935">
        <v>40299</v>
      </c>
      <c r="B80" s="706">
        <v>25.2</v>
      </c>
      <c r="C80" s="706">
        <v>30.1</v>
      </c>
      <c r="D80" s="706">
        <v>37.299999999999997</v>
      </c>
      <c r="E80" s="706">
        <v>7.4</v>
      </c>
    </row>
    <row r="81" spans="1:5">
      <c r="A81" s="934">
        <v>40330</v>
      </c>
      <c r="B81" s="801">
        <v>25.1</v>
      </c>
      <c r="C81" s="801">
        <v>30.3</v>
      </c>
      <c r="D81" s="801">
        <v>36.9</v>
      </c>
      <c r="E81" s="801">
        <v>7.7</v>
      </c>
    </row>
    <row r="82" spans="1:5">
      <c r="A82" s="935">
        <v>40360</v>
      </c>
      <c r="B82" s="706">
        <v>25</v>
      </c>
      <c r="C82" s="706">
        <v>30.5</v>
      </c>
      <c r="D82" s="706">
        <v>37</v>
      </c>
      <c r="E82" s="706">
        <v>7.5</v>
      </c>
    </row>
    <row r="83" spans="1:5">
      <c r="A83" s="934">
        <v>40391</v>
      </c>
      <c r="B83" s="801">
        <v>24.9</v>
      </c>
      <c r="C83" s="801">
        <v>30.8</v>
      </c>
      <c r="D83" s="801">
        <v>37.900000000000006</v>
      </c>
      <c r="E83" s="801">
        <v>6.4</v>
      </c>
    </row>
    <row r="84" spans="1:5">
      <c r="A84" s="935">
        <v>40422</v>
      </c>
      <c r="B84" s="706">
        <v>24.7</v>
      </c>
      <c r="C84" s="706">
        <v>30.8</v>
      </c>
      <c r="D84" s="706">
        <v>38.200000000000003</v>
      </c>
      <c r="E84" s="706">
        <v>6.3</v>
      </c>
    </row>
    <row r="85" spans="1:5">
      <c r="A85" s="934">
        <v>40452</v>
      </c>
      <c r="B85" s="801">
        <v>24.4</v>
      </c>
      <c r="C85" s="801">
        <v>29.8</v>
      </c>
      <c r="D85" s="801">
        <v>39.4</v>
      </c>
      <c r="E85" s="801">
        <v>6.4</v>
      </c>
    </row>
    <row r="86" spans="1:5">
      <c r="A86" s="935">
        <v>40483</v>
      </c>
      <c r="B86" s="706">
        <v>24.3</v>
      </c>
      <c r="C86" s="706">
        <v>29</v>
      </c>
      <c r="D86" s="706">
        <v>40</v>
      </c>
      <c r="E86" s="706">
        <v>6.7</v>
      </c>
    </row>
    <row r="87" spans="1:5">
      <c r="A87" s="934">
        <v>40513</v>
      </c>
      <c r="B87" s="801">
        <v>23.8</v>
      </c>
      <c r="C87" s="801">
        <v>28.8</v>
      </c>
      <c r="D87" s="801">
        <v>41.2</v>
      </c>
      <c r="E87" s="801">
        <v>6.2</v>
      </c>
    </row>
    <row r="88" spans="1:5">
      <c r="A88" s="935">
        <v>40544</v>
      </c>
      <c r="B88" s="706">
        <v>23.6</v>
      </c>
      <c r="C88" s="706">
        <v>28.3</v>
      </c>
      <c r="D88" s="706">
        <v>41.8</v>
      </c>
      <c r="E88" s="706">
        <v>6.3</v>
      </c>
    </row>
    <row r="89" spans="1:5">
      <c r="A89" s="934">
        <v>40575</v>
      </c>
      <c r="B89" s="801">
        <v>23.5</v>
      </c>
      <c r="C89" s="801">
        <v>28.1</v>
      </c>
      <c r="D89" s="801">
        <v>42</v>
      </c>
      <c r="E89" s="801">
        <v>6.4</v>
      </c>
    </row>
    <row r="90" spans="1:5">
      <c r="A90" s="935">
        <v>40603</v>
      </c>
      <c r="B90" s="706">
        <v>23.3</v>
      </c>
      <c r="C90" s="706">
        <v>28.1</v>
      </c>
      <c r="D90" s="706">
        <v>42.099999999999994</v>
      </c>
      <c r="E90" s="706">
        <v>6.5</v>
      </c>
    </row>
    <row r="91" spans="1:5">
      <c r="A91" s="934">
        <v>40634</v>
      </c>
      <c r="B91" s="801">
        <v>22.9</v>
      </c>
      <c r="C91" s="801">
        <v>28.5</v>
      </c>
      <c r="D91" s="801">
        <v>42.5</v>
      </c>
      <c r="E91" s="801">
        <v>6.1</v>
      </c>
    </row>
    <row r="92" spans="1:5">
      <c r="A92" s="935">
        <v>40664</v>
      </c>
      <c r="B92" s="706">
        <v>22.8</v>
      </c>
      <c r="C92" s="706">
        <v>29.3</v>
      </c>
      <c r="D92" s="706">
        <v>41.9</v>
      </c>
      <c r="E92" s="706">
        <v>6</v>
      </c>
    </row>
    <row r="93" spans="1:5">
      <c r="A93" s="934">
        <v>40695</v>
      </c>
      <c r="B93" s="801">
        <v>22.7</v>
      </c>
      <c r="C93" s="801">
        <v>28.9</v>
      </c>
      <c r="D93" s="801">
        <v>41.8</v>
      </c>
      <c r="E93" s="801">
        <v>6.6</v>
      </c>
    </row>
    <row r="94" spans="1:5">
      <c r="A94" s="935">
        <v>40725</v>
      </c>
      <c r="B94" s="706">
        <v>22.4</v>
      </c>
      <c r="C94" s="706">
        <v>29.6</v>
      </c>
      <c r="D94" s="706">
        <v>41.900000000000006</v>
      </c>
      <c r="E94" s="706">
        <v>6.1</v>
      </c>
    </row>
    <row r="95" spans="1:5">
      <c r="A95" s="934">
        <v>40756</v>
      </c>
      <c r="B95" s="801">
        <v>22.3</v>
      </c>
      <c r="C95" s="801">
        <v>29.5</v>
      </c>
      <c r="D95" s="801">
        <v>42.1</v>
      </c>
      <c r="E95" s="801">
        <v>6.1</v>
      </c>
    </row>
    <row r="96" spans="1:5">
      <c r="A96" s="935">
        <v>40787</v>
      </c>
      <c r="B96" s="706">
        <v>22.2</v>
      </c>
      <c r="C96" s="706">
        <v>29.2</v>
      </c>
      <c r="D96" s="706">
        <v>42.5</v>
      </c>
      <c r="E96" s="706">
        <v>6.1</v>
      </c>
    </row>
    <row r="97" spans="1:5">
      <c r="A97" s="934">
        <v>40817</v>
      </c>
      <c r="B97" s="801">
        <v>22.3</v>
      </c>
      <c r="C97" s="801">
        <v>28.7</v>
      </c>
      <c r="D97" s="801">
        <v>43</v>
      </c>
      <c r="E97" s="801">
        <v>6</v>
      </c>
    </row>
    <row r="98" spans="1:5">
      <c r="A98" s="935">
        <v>40848</v>
      </c>
      <c r="B98" s="706">
        <v>22.1</v>
      </c>
      <c r="C98" s="706">
        <v>27.9</v>
      </c>
      <c r="D98" s="706">
        <v>43.6</v>
      </c>
      <c r="E98" s="706">
        <v>6.4</v>
      </c>
    </row>
    <row r="99" spans="1:5">
      <c r="A99" s="934">
        <v>40878</v>
      </c>
      <c r="B99" s="801">
        <v>21.6</v>
      </c>
      <c r="C99" s="801">
        <v>27.5</v>
      </c>
      <c r="D99" s="801">
        <v>44.2</v>
      </c>
      <c r="E99" s="801">
        <v>6.7</v>
      </c>
    </row>
    <row r="100" spans="1:5">
      <c r="A100" s="935">
        <v>40909</v>
      </c>
      <c r="B100" s="706">
        <v>21.4</v>
      </c>
      <c r="C100" s="706">
        <v>27.2</v>
      </c>
      <c r="D100" s="706">
        <v>44.7</v>
      </c>
      <c r="E100" s="706">
        <v>6.7</v>
      </c>
    </row>
    <row r="101" spans="1:5">
      <c r="A101" s="934">
        <v>40940</v>
      </c>
      <c r="B101" s="801">
        <v>21.4</v>
      </c>
      <c r="C101" s="801">
        <v>27.3</v>
      </c>
      <c r="D101" s="801">
        <v>44.4</v>
      </c>
      <c r="E101" s="801">
        <v>6.9</v>
      </c>
    </row>
    <row r="102" spans="1:5">
      <c r="A102" s="935">
        <v>40969</v>
      </c>
      <c r="B102" s="706">
        <v>21.2</v>
      </c>
      <c r="C102" s="706">
        <v>27.4</v>
      </c>
      <c r="D102" s="706">
        <v>44.4</v>
      </c>
      <c r="E102" s="706">
        <v>7</v>
      </c>
    </row>
    <row r="103" spans="1:5">
      <c r="A103" s="934">
        <v>41000</v>
      </c>
      <c r="B103" s="801">
        <v>20.9</v>
      </c>
      <c r="C103" s="801">
        <v>28.4</v>
      </c>
      <c r="D103" s="801">
        <v>44.4</v>
      </c>
      <c r="E103" s="801">
        <v>6.3</v>
      </c>
    </row>
    <row r="104" spans="1:5">
      <c r="A104" s="935">
        <v>41030</v>
      </c>
      <c r="B104" s="706">
        <v>19.600000000000001</v>
      </c>
      <c r="C104" s="706">
        <v>30.3</v>
      </c>
      <c r="D104" s="706">
        <v>43.8</v>
      </c>
      <c r="E104" s="706">
        <v>6.3</v>
      </c>
    </row>
    <row r="105" spans="1:5">
      <c r="A105" s="934">
        <v>41061</v>
      </c>
      <c r="B105" s="801">
        <v>19.5</v>
      </c>
      <c r="C105" s="801">
        <v>30.8</v>
      </c>
      <c r="D105" s="801">
        <v>43.599999999999994</v>
      </c>
      <c r="E105" s="801">
        <v>6.1</v>
      </c>
    </row>
    <row r="106" spans="1:5">
      <c r="A106" s="935">
        <v>41091</v>
      </c>
      <c r="B106" s="706">
        <v>19.399999999999999</v>
      </c>
      <c r="C106" s="706">
        <v>31.1</v>
      </c>
      <c r="D106" s="706">
        <v>43.4</v>
      </c>
      <c r="E106" s="706">
        <v>6.1</v>
      </c>
    </row>
    <row r="107" spans="1:5">
      <c r="A107" s="934">
        <v>41122</v>
      </c>
      <c r="B107" s="801">
        <v>19.2</v>
      </c>
      <c r="C107" s="801">
        <v>31.5</v>
      </c>
      <c r="D107" s="801">
        <v>43.3</v>
      </c>
      <c r="E107" s="801">
        <v>6</v>
      </c>
    </row>
    <row r="108" spans="1:5">
      <c r="A108" s="935">
        <v>41153</v>
      </c>
      <c r="B108" s="706">
        <v>19.100000000000001</v>
      </c>
      <c r="C108" s="706">
        <v>31.9</v>
      </c>
      <c r="D108" s="706">
        <v>43.2</v>
      </c>
      <c r="E108" s="706">
        <v>5.8</v>
      </c>
    </row>
    <row r="109" spans="1:5">
      <c r="A109" s="934">
        <v>41183</v>
      </c>
      <c r="B109" s="801">
        <v>18.899999999999999</v>
      </c>
      <c r="C109" s="801">
        <v>32.200000000000003</v>
      </c>
      <c r="D109" s="801">
        <v>42.9</v>
      </c>
      <c r="E109" s="801">
        <v>6</v>
      </c>
    </row>
    <row r="110" spans="1:5">
      <c r="A110" s="935">
        <v>41214</v>
      </c>
      <c r="B110" s="706">
        <v>18.7</v>
      </c>
      <c r="C110" s="706">
        <v>32.200000000000003</v>
      </c>
      <c r="D110" s="706">
        <v>42.7</v>
      </c>
      <c r="E110" s="706">
        <v>6.4</v>
      </c>
    </row>
    <row r="111" spans="1:5">
      <c r="A111" s="934">
        <v>41244</v>
      </c>
      <c r="B111" s="801">
        <v>18.600000000000001</v>
      </c>
      <c r="C111" s="801">
        <v>32.200000000000003</v>
      </c>
      <c r="D111" s="801">
        <v>42.6</v>
      </c>
      <c r="E111" s="801">
        <v>6.6</v>
      </c>
    </row>
    <row r="112" spans="1:5">
      <c r="A112" s="935">
        <v>41275</v>
      </c>
      <c r="B112" s="706">
        <v>18.5</v>
      </c>
      <c r="C112" s="706">
        <v>32.299999999999997</v>
      </c>
      <c r="D112" s="706">
        <v>42.400000000000006</v>
      </c>
      <c r="E112" s="706">
        <v>6.8</v>
      </c>
    </row>
    <row r="113" spans="1:5">
      <c r="A113" s="934">
        <v>41306</v>
      </c>
      <c r="B113" s="801">
        <v>18.399999999999999</v>
      </c>
      <c r="C113" s="801">
        <v>32.6</v>
      </c>
      <c r="D113" s="801">
        <v>41.9</v>
      </c>
      <c r="E113" s="801">
        <v>7.1</v>
      </c>
    </row>
    <row r="114" spans="1:5">
      <c r="A114" s="935">
        <v>41334</v>
      </c>
      <c r="B114" s="706">
        <v>18.2</v>
      </c>
      <c r="C114" s="706">
        <v>32.799999999999997</v>
      </c>
      <c r="D114" s="706">
        <v>41.8</v>
      </c>
      <c r="E114" s="706">
        <v>7.2</v>
      </c>
    </row>
    <row r="115" spans="1:5">
      <c r="A115" s="934">
        <v>41365</v>
      </c>
      <c r="B115" s="801">
        <v>17.7</v>
      </c>
      <c r="C115" s="801">
        <v>36.1</v>
      </c>
      <c r="D115" s="801">
        <v>38.5</v>
      </c>
      <c r="E115" s="801">
        <v>7.7</v>
      </c>
    </row>
    <row r="116" spans="1:5">
      <c r="A116" s="935">
        <v>41395</v>
      </c>
      <c r="B116" s="706">
        <v>17.600000000000001</v>
      </c>
      <c r="C116" s="706">
        <v>36.700000000000003</v>
      </c>
      <c r="D116" s="706">
        <v>38.5</v>
      </c>
      <c r="E116" s="706">
        <v>7.3</v>
      </c>
    </row>
    <row r="117" spans="1:5">
      <c r="A117" s="934">
        <v>41426</v>
      </c>
      <c r="B117" s="801">
        <v>17.186991637054501</v>
      </c>
      <c r="C117" s="801">
        <v>37.383602849948858</v>
      </c>
      <c r="D117" s="801">
        <v>38.224052550142673</v>
      </c>
      <c r="E117" s="801">
        <v>7.2053529628539668</v>
      </c>
    </row>
    <row r="118" spans="1:5">
      <c r="A118" s="935">
        <v>41456</v>
      </c>
      <c r="B118" s="706">
        <v>17.464411543287326</v>
      </c>
      <c r="C118" s="706">
        <v>37.263839397741535</v>
      </c>
      <c r="D118" s="706">
        <v>38.548557089084063</v>
      </c>
      <c r="E118" s="706">
        <v>6.7231919698870772</v>
      </c>
    </row>
    <row r="119" spans="1:5">
      <c r="A119" s="934">
        <v>41487</v>
      </c>
      <c r="B119" s="801">
        <v>17.420586323999999</v>
      </c>
      <c r="C119" s="801">
        <v>37.647922751000003</v>
      </c>
      <c r="D119" s="801">
        <v>38.179596653399997</v>
      </c>
      <c r="E119" s="801">
        <v>6.7518942712000003</v>
      </c>
    </row>
    <row r="120" spans="1:5">
      <c r="A120" s="935">
        <v>41518</v>
      </c>
      <c r="B120" s="706">
        <v>17.117800454000001</v>
      </c>
      <c r="C120" s="706">
        <v>38.309355662999998</v>
      </c>
      <c r="D120" s="706">
        <v>38.130720003899995</v>
      </c>
      <c r="E120" s="706">
        <v>6.4421238785000003</v>
      </c>
    </row>
    <row r="121" spans="1:5">
      <c r="A121" s="934">
        <v>41548</v>
      </c>
      <c r="B121" s="801">
        <v>17.237233866</v>
      </c>
      <c r="C121" s="801">
        <v>38.267306384999998</v>
      </c>
      <c r="D121" s="801">
        <v>37.910542323599998</v>
      </c>
      <c r="E121" s="801">
        <v>6.5849174253999996</v>
      </c>
    </row>
    <row r="122" spans="1:5">
      <c r="A122" s="935">
        <v>41579</v>
      </c>
      <c r="B122" s="706">
        <v>16.85130994</v>
      </c>
      <c r="C122" s="706">
        <v>38.218855984000001</v>
      </c>
      <c r="D122" s="706">
        <v>37.871347598599996</v>
      </c>
      <c r="E122" s="706">
        <v>7.0584864769999998</v>
      </c>
    </row>
    <row r="123" spans="1:5">
      <c r="A123" s="934">
        <v>41609</v>
      </c>
      <c r="B123" s="801">
        <v>17.063522512999999</v>
      </c>
      <c r="C123" s="801">
        <v>37.710058095000001</v>
      </c>
      <c r="D123" s="801">
        <v>37.644945740899999</v>
      </c>
      <c r="E123" s="801">
        <v>7.5814736517999997</v>
      </c>
    </row>
    <row r="124" spans="1:5">
      <c r="A124" s="935">
        <v>41640</v>
      </c>
      <c r="B124" s="706">
        <v>16.478587471000001</v>
      </c>
      <c r="C124" s="706">
        <v>38.004816306000002</v>
      </c>
      <c r="D124" s="706">
        <v>37.893322219799998</v>
      </c>
      <c r="E124" s="706">
        <v>7.6232740029999997</v>
      </c>
    </row>
    <row r="125" spans="1:5">
      <c r="A125" s="934">
        <v>41671</v>
      </c>
      <c r="B125" s="801">
        <v>16.227760544999999</v>
      </c>
      <c r="C125" s="801">
        <v>38.020713399999998</v>
      </c>
      <c r="D125" s="801">
        <v>38.138439387399998</v>
      </c>
      <c r="E125" s="801">
        <v>7.6130866678000002</v>
      </c>
    </row>
    <row r="126" spans="1:5">
      <c r="A126" s="935">
        <v>41699</v>
      </c>
      <c r="B126" s="706">
        <v>15.874194714</v>
      </c>
      <c r="C126" s="706">
        <v>38.550570358000002</v>
      </c>
      <c r="D126" s="706">
        <v>38.2012280135</v>
      </c>
      <c r="E126" s="706">
        <v>7.3740069146999998</v>
      </c>
    </row>
    <row r="127" spans="1:5">
      <c r="A127" s="934">
        <v>41730</v>
      </c>
      <c r="B127" s="801">
        <v>15.296464157000001</v>
      </c>
      <c r="C127" s="801">
        <v>39.21234149</v>
      </c>
      <c r="D127" s="801">
        <v>37.701581597499995</v>
      </c>
      <c r="E127" s="801">
        <v>7.7896127564000004</v>
      </c>
    </row>
    <row r="128" spans="1:5">
      <c r="A128" s="935">
        <v>41760</v>
      </c>
      <c r="B128" s="706">
        <v>15.183773764</v>
      </c>
      <c r="C128" s="706">
        <v>39.733578336999997</v>
      </c>
      <c r="D128" s="706">
        <v>37.879560946799998</v>
      </c>
      <c r="E128" s="706">
        <v>7.2030869517999996</v>
      </c>
    </row>
    <row r="129" spans="1:5">
      <c r="A129" s="934">
        <v>41791</v>
      </c>
      <c r="B129" s="801">
        <v>14.940946277</v>
      </c>
      <c r="C129" s="801">
        <v>39.997922353</v>
      </c>
      <c r="D129" s="801">
        <v>37.684689654799996</v>
      </c>
      <c r="E129" s="801">
        <v>7.3764417156000004</v>
      </c>
    </row>
    <row r="130" spans="1:5">
      <c r="A130" s="935">
        <v>41821</v>
      </c>
      <c r="B130" s="706">
        <v>14.934007342999999</v>
      </c>
      <c r="C130" s="706">
        <v>40.140386992000003</v>
      </c>
      <c r="D130" s="706">
        <v>37.682760605699997</v>
      </c>
      <c r="E130" s="706">
        <v>7.2428450600999996</v>
      </c>
    </row>
    <row r="131" spans="1:5">
      <c r="A131" s="934">
        <v>41852</v>
      </c>
      <c r="B131" s="801">
        <v>14.895077893</v>
      </c>
      <c r="C131" s="801">
        <v>40.049969373000003</v>
      </c>
      <c r="D131" s="801">
        <v>37.630823205200002</v>
      </c>
      <c r="E131" s="801">
        <v>7.424129529</v>
      </c>
    </row>
    <row r="132" spans="1:5">
      <c r="A132" s="935">
        <v>41883</v>
      </c>
      <c r="B132" s="706">
        <v>15.464410043000001</v>
      </c>
      <c r="C132" s="706">
        <v>41.227803684000001</v>
      </c>
      <c r="D132" s="706">
        <v>36.901681348699995</v>
      </c>
      <c r="E132" s="706">
        <v>6.4061049252000002</v>
      </c>
    </row>
    <row r="133" spans="1:5">
      <c r="A133" s="934">
        <v>41913</v>
      </c>
      <c r="B133" s="801">
        <v>15.491011274</v>
      </c>
      <c r="C133" s="801">
        <v>41.45127394</v>
      </c>
      <c r="D133" s="801">
        <v>36.228525387800005</v>
      </c>
      <c r="E133" s="801">
        <v>6.8291893973000004</v>
      </c>
    </row>
    <row r="134" spans="1:5">
      <c r="A134" s="935">
        <v>41944</v>
      </c>
      <c r="B134" s="706">
        <v>15.261908685</v>
      </c>
      <c r="C134" s="706">
        <v>41.650772879000002</v>
      </c>
      <c r="D134" s="706">
        <v>36.0711543842</v>
      </c>
      <c r="E134" s="706">
        <v>7.0161640515999997</v>
      </c>
    </row>
    <row r="135" spans="1:5">
      <c r="A135" s="934">
        <v>41974</v>
      </c>
      <c r="B135" s="801">
        <v>15.179597077</v>
      </c>
      <c r="C135" s="801">
        <v>41.371877304999998</v>
      </c>
      <c r="D135" s="801">
        <v>36.118310574500001</v>
      </c>
      <c r="E135" s="801">
        <v>7.3302150433</v>
      </c>
    </row>
    <row r="136" spans="1:5">
      <c r="A136" s="935">
        <v>42005</v>
      </c>
      <c r="B136" s="706">
        <v>15.171411794000001</v>
      </c>
      <c r="C136" s="706">
        <v>42.271414864</v>
      </c>
      <c r="D136" s="706">
        <v>35.586878370599997</v>
      </c>
      <c r="E136" s="706">
        <v>6.9702949721999996</v>
      </c>
    </row>
    <row r="137" spans="1:5">
      <c r="A137" s="934">
        <v>42036</v>
      </c>
      <c r="B137" s="801">
        <v>15.278037983999999</v>
      </c>
      <c r="C137" s="801">
        <v>42.526915590999998</v>
      </c>
      <c r="D137" s="801">
        <v>35.112103400099997</v>
      </c>
      <c r="E137" s="801">
        <v>7.0829430237000004</v>
      </c>
    </row>
    <row r="138" spans="1:5">
      <c r="A138" s="935">
        <v>42064</v>
      </c>
      <c r="B138" s="706">
        <v>14.939686789</v>
      </c>
      <c r="C138" s="706">
        <v>43.355389758999998</v>
      </c>
      <c r="D138" s="706">
        <v>35.041362922899999</v>
      </c>
      <c r="E138" s="706">
        <v>6.6635605291999997</v>
      </c>
    </row>
    <row r="139" spans="1:5">
      <c r="A139" s="934">
        <v>42095</v>
      </c>
      <c r="B139" s="801">
        <v>14.360866466999999</v>
      </c>
      <c r="C139" s="801">
        <v>43.835693434</v>
      </c>
      <c r="D139" s="801">
        <v>34.364160270600003</v>
      </c>
      <c r="E139" s="801">
        <v>7.4392798283000001</v>
      </c>
    </row>
    <row r="140" spans="1:5">
      <c r="A140" s="935">
        <v>42125</v>
      </c>
      <c r="B140" s="706">
        <v>14.727213945000001</v>
      </c>
      <c r="C140" s="706">
        <v>43.952252621</v>
      </c>
      <c r="D140" s="706">
        <v>34.158406851999999</v>
      </c>
      <c r="E140" s="706">
        <v>7.1621265812999999</v>
      </c>
    </row>
    <row r="141" spans="1:5">
      <c r="A141" s="934">
        <v>42156</v>
      </c>
      <c r="B141" s="801">
        <v>14.511789630000001</v>
      </c>
      <c r="C141" s="801">
        <v>44.299332163999999</v>
      </c>
      <c r="D141" s="801">
        <v>34.038409112099998</v>
      </c>
      <c r="E141" s="801">
        <v>7.1504690931999999</v>
      </c>
    </row>
    <row r="142" spans="1:5">
      <c r="A142" s="935">
        <v>42186</v>
      </c>
      <c r="B142" s="706">
        <v>14.456823324</v>
      </c>
      <c r="C142" s="706">
        <v>44.754999736000002</v>
      </c>
      <c r="D142" s="706">
        <v>33.705268461199999</v>
      </c>
      <c r="E142" s="706">
        <v>7.0829084793000003</v>
      </c>
    </row>
    <row r="143" spans="1:5">
      <c r="A143" s="934">
        <v>42217</v>
      </c>
      <c r="B143" s="801">
        <v>14.395360951000001</v>
      </c>
      <c r="C143" s="801">
        <v>45.056363499</v>
      </c>
      <c r="D143" s="801">
        <v>33.399546079399997</v>
      </c>
      <c r="E143" s="801">
        <v>7.1487294704000002</v>
      </c>
    </row>
    <row r="144" spans="1:5">
      <c r="A144" s="935">
        <v>42248</v>
      </c>
      <c r="B144" s="706">
        <v>14.222014247000001</v>
      </c>
      <c r="C144" s="706">
        <v>45.556595428999998</v>
      </c>
      <c r="D144" s="706">
        <v>32.623352561499999</v>
      </c>
      <c r="E144" s="706">
        <v>7.5980377619999997</v>
      </c>
    </row>
    <row r="145" spans="1:5">
      <c r="A145" s="934">
        <v>42278</v>
      </c>
      <c r="B145" s="801">
        <v>13.957854985999999</v>
      </c>
      <c r="C145" s="801">
        <v>47.261345487</v>
      </c>
      <c r="D145" s="801">
        <v>31.9044226802</v>
      </c>
      <c r="E145" s="801">
        <v>6.8763768464000004</v>
      </c>
    </row>
    <row r="146" spans="1:5">
      <c r="A146" s="935">
        <v>42309</v>
      </c>
      <c r="B146" s="706">
        <v>14.020883229000001</v>
      </c>
      <c r="C146" s="706">
        <v>46.636316495000003</v>
      </c>
      <c r="D146" s="706">
        <v>31.742808250500001</v>
      </c>
      <c r="E146" s="706">
        <v>7.5999920251999997</v>
      </c>
    </row>
    <row r="147" spans="1:5">
      <c r="A147" s="934">
        <v>42339</v>
      </c>
      <c r="B147" s="801">
        <v>13.996595314</v>
      </c>
      <c r="C147" s="801">
        <v>46.951443109000003</v>
      </c>
      <c r="D147" s="801">
        <v>31.4086140177</v>
      </c>
      <c r="E147" s="801">
        <v>7.6433475595000004</v>
      </c>
    </row>
    <row r="148" spans="1:5">
      <c r="A148" s="935">
        <v>42370</v>
      </c>
      <c r="B148" s="706">
        <v>13.9</v>
      </c>
      <c r="C148" s="706">
        <v>46.9</v>
      </c>
      <c r="D148" s="706">
        <v>31.200000000000003</v>
      </c>
      <c r="E148" s="706">
        <v>7.9</v>
      </c>
    </row>
    <row r="149" spans="1:5" s="707" customFormat="1">
      <c r="A149" s="934">
        <v>42401</v>
      </c>
      <c r="B149" s="801">
        <v>13.8</v>
      </c>
      <c r="C149" s="801">
        <v>46.6</v>
      </c>
      <c r="D149" s="801">
        <v>31.4</v>
      </c>
      <c r="E149" s="801">
        <v>8.1999999999999993</v>
      </c>
    </row>
    <row r="150" spans="1:5">
      <c r="A150" s="935">
        <v>42430</v>
      </c>
      <c r="B150" s="706">
        <v>13.9</v>
      </c>
      <c r="C150" s="706">
        <v>47.6</v>
      </c>
      <c r="D150" s="706">
        <v>30.4</v>
      </c>
      <c r="E150" s="706">
        <v>8.1999999999999993</v>
      </c>
    </row>
    <row r="151" spans="1:5">
      <c r="A151" s="934">
        <v>42461</v>
      </c>
      <c r="B151" s="801">
        <v>13.7</v>
      </c>
      <c r="C151" s="801">
        <v>47.7</v>
      </c>
      <c r="D151" s="801">
        <v>30.5</v>
      </c>
      <c r="E151" s="801">
        <v>8.1</v>
      </c>
    </row>
    <row r="152" spans="1:5">
      <c r="A152" s="935">
        <v>42491</v>
      </c>
      <c r="B152" s="706">
        <v>13.6</v>
      </c>
      <c r="C152" s="706">
        <v>48.3</v>
      </c>
      <c r="D152" s="706">
        <v>29.7</v>
      </c>
      <c r="E152" s="706">
        <v>8.3000000000000007</v>
      </c>
    </row>
    <row r="153" spans="1:5">
      <c r="A153" s="934">
        <v>42522</v>
      </c>
      <c r="B153" s="801">
        <v>13.3</v>
      </c>
      <c r="C153" s="801">
        <v>48.6</v>
      </c>
      <c r="D153" s="801">
        <v>29.3</v>
      </c>
      <c r="E153" s="801">
        <v>8.8000000000000007</v>
      </c>
    </row>
    <row r="154" spans="1:5">
      <c r="A154" s="935">
        <v>42552</v>
      </c>
      <c r="B154" s="706">
        <v>13.2</v>
      </c>
      <c r="C154" s="706">
        <v>49.2</v>
      </c>
      <c r="D154" s="706">
        <v>29.1</v>
      </c>
      <c r="E154" s="706">
        <v>8.4</v>
      </c>
    </row>
    <row r="155" spans="1:5">
      <c r="A155" s="934">
        <v>42583</v>
      </c>
      <c r="B155" s="801">
        <v>13.4</v>
      </c>
      <c r="C155" s="801">
        <v>48.9</v>
      </c>
      <c r="D155" s="801">
        <v>29.099999999999998</v>
      </c>
      <c r="E155" s="801">
        <v>8.5</v>
      </c>
    </row>
    <row r="156" spans="1:5">
      <c r="A156" s="935">
        <v>42614</v>
      </c>
      <c r="B156" s="706">
        <v>13.115229524</v>
      </c>
      <c r="C156" s="706">
        <v>49.580552064000003</v>
      </c>
      <c r="D156" s="706">
        <v>28.784071597800001</v>
      </c>
      <c r="E156" s="706">
        <v>8.5201468148000004</v>
      </c>
    </row>
    <row r="157" spans="1:5">
      <c r="A157" s="934">
        <v>42644</v>
      </c>
      <c r="B157" s="801">
        <v>12.977412764</v>
      </c>
      <c r="C157" s="801">
        <v>49.758351443999999</v>
      </c>
      <c r="D157" s="801">
        <v>28.6392768087</v>
      </c>
      <c r="E157" s="801">
        <v>8.6249589833000009</v>
      </c>
    </row>
    <row r="158" spans="1:5">
      <c r="A158" s="935">
        <v>42675</v>
      </c>
      <c r="B158" s="706">
        <v>13.160360766</v>
      </c>
      <c r="C158" s="706">
        <v>50.255001204999999</v>
      </c>
      <c r="D158" s="706">
        <v>28.682576552199997</v>
      </c>
      <c r="E158" s="706">
        <v>7.9020614769000002</v>
      </c>
    </row>
    <row r="159" spans="1:5">
      <c r="A159" s="934">
        <v>42705</v>
      </c>
      <c r="B159" s="801">
        <v>13</v>
      </c>
      <c r="C159" s="801">
        <v>49.5</v>
      </c>
      <c r="D159" s="801">
        <v>29</v>
      </c>
      <c r="E159" s="801">
        <v>8.9</v>
      </c>
    </row>
    <row r="160" spans="1:5">
      <c r="A160" s="935">
        <v>42736</v>
      </c>
      <c r="B160" s="706">
        <v>12.709412756000001</v>
      </c>
      <c r="C160" s="706">
        <v>49.407000230999998</v>
      </c>
      <c r="D160" s="706">
        <v>28.455290295999994</v>
      </c>
      <c r="E160" s="706">
        <v>9.4282967170000003</v>
      </c>
    </row>
    <row r="161" spans="1:5">
      <c r="A161" s="934">
        <v>42767</v>
      </c>
      <c r="B161" s="801">
        <v>12.573098354000001</v>
      </c>
      <c r="C161" s="801">
        <v>49.855879719999997</v>
      </c>
      <c r="D161" s="801">
        <v>28.610808719100007</v>
      </c>
      <c r="E161" s="801">
        <v>8.9602132069000007</v>
      </c>
    </row>
    <row r="162" spans="1:5">
      <c r="A162" s="935">
        <v>42795</v>
      </c>
      <c r="B162" s="706">
        <v>12.343495231</v>
      </c>
      <c r="C162" s="706">
        <v>49.934177865000002</v>
      </c>
      <c r="D162" s="706">
        <v>28.648765163399993</v>
      </c>
      <c r="E162" s="706">
        <v>9.0735617406000006</v>
      </c>
    </row>
    <row r="163" spans="1:5" ht="18" customHeight="1">
      <c r="A163" s="934">
        <v>42826</v>
      </c>
      <c r="B163" s="801">
        <v>12.286306509999999</v>
      </c>
      <c r="C163" s="801">
        <v>49.765126557999999</v>
      </c>
      <c r="D163" s="801">
        <v>28.9933780068</v>
      </c>
      <c r="E163" s="801">
        <v>8.9551889251999999</v>
      </c>
    </row>
    <row r="164" spans="1:5">
      <c r="A164" s="935">
        <v>42856</v>
      </c>
      <c r="B164" s="706">
        <v>12.444163593000001</v>
      </c>
      <c r="C164" s="706">
        <v>49.293862478999998</v>
      </c>
      <c r="D164" s="706">
        <v>29.004129616400004</v>
      </c>
      <c r="E164" s="706">
        <v>9.2578443115999995</v>
      </c>
    </row>
    <row r="165" spans="1:5">
      <c r="A165" s="934">
        <v>42887</v>
      </c>
      <c r="B165" s="801">
        <v>12.348110987</v>
      </c>
      <c r="C165" s="801">
        <v>49.213614243000002</v>
      </c>
      <c r="D165" s="801">
        <v>29.089569768499999</v>
      </c>
      <c r="E165" s="801">
        <v>9.3487050015000008</v>
      </c>
    </row>
    <row r="166" spans="1:5">
      <c r="A166" s="935">
        <v>42917</v>
      </c>
      <c r="B166" s="706">
        <v>12.023546651</v>
      </c>
      <c r="C166" s="706">
        <v>48.593354877000003</v>
      </c>
      <c r="D166" s="706">
        <v>29.566012632499991</v>
      </c>
      <c r="E166" s="706">
        <v>9.8170858395000007</v>
      </c>
    </row>
    <row r="168" spans="1:5">
      <c r="A168" s="730" t="s">
        <v>27</v>
      </c>
      <c r="B168" s="731"/>
      <c r="C168" s="731"/>
      <c r="D168" s="731"/>
      <c r="E168" s="731"/>
    </row>
    <row r="169" spans="1:5">
      <c r="A169" s="730" t="s">
        <v>482</v>
      </c>
      <c r="B169" s="731"/>
      <c r="C169" s="731"/>
      <c r="D169" s="731"/>
      <c r="E169" s="731"/>
    </row>
    <row r="170" spans="1:5">
      <c r="A170" s="1063" t="s">
        <v>505</v>
      </c>
      <c r="B170" s="1063"/>
      <c r="C170" s="1063"/>
      <c r="D170" s="1063"/>
      <c r="E170" s="1063"/>
    </row>
  </sheetData>
  <mergeCells count="1">
    <mergeCell ref="A170:E170"/>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6" tint="0.39997558519241921"/>
  </sheetPr>
  <dimension ref="A1:H82"/>
  <sheetViews>
    <sheetView showGridLines="0" topLeftCell="B1" zoomScale="85" zoomScaleNormal="85" zoomScaleSheetLayoutView="100" workbookViewId="0">
      <selection activeCell="B1" sqref="B1"/>
    </sheetView>
  </sheetViews>
  <sheetFormatPr defaultColWidth="8.86328125" defaultRowHeight="13.15"/>
  <cols>
    <col min="1" max="1" width="0" style="11" hidden="1" customWidth="1"/>
    <col min="2" max="2" width="45.73046875" style="11" customWidth="1"/>
    <col min="3" max="3" width="5.73046875" style="11" customWidth="1"/>
    <col min="4" max="4" width="5.73046875" style="984" customWidth="1"/>
    <col min="5" max="5" width="5.73046875" style="4" hidden="1" customWidth="1"/>
    <col min="6" max="6" width="27.73046875" style="4" customWidth="1"/>
    <col min="7" max="7" width="8.59765625" style="4" customWidth="1"/>
    <col min="8" max="8" width="8.86328125" style="4" customWidth="1"/>
    <col min="9" max="16384" width="8.86328125" style="11"/>
  </cols>
  <sheetData>
    <row r="1" spans="1:7" ht="15.95" customHeight="1" thickTop="1">
      <c r="A1" s="11">
        <v>89</v>
      </c>
      <c r="B1" s="524" t="str">
        <f>IF(språk=lista[[#Headers],[Svenska]],"Innehåll",IF(språk=lista[[#Headers],[English]],"Contents","FEL"))</f>
        <v>Contents</v>
      </c>
      <c r="D1" s="995"/>
    </row>
    <row r="2" spans="1:7" ht="15.95" customHeight="1"/>
    <row r="3" spans="1:7" ht="15.95" customHeight="1">
      <c r="A3" s="11">
        <v>90</v>
      </c>
      <c r="B3" s="2" t="str">
        <f>IFERROR(INDEX(lista[],MATCH($A3,lista[ID],0),MATCH(språk,lista[#Headers],0)),"")</f>
        <v>Energy supply and use in Sweden 2016, TWh</v>
      </c>
      <c r="C3" s="3"/>
      <c r="D3" s="985"/>
    </row>
    <row r="4" spans="1:7" ht="15.95" customHeight="1">
      <c r="B4" s="393"/>
      <c r="C4" s="3"/>
      <c r="D4" s="985"/>
      <c r="E4" s="243"/>
    </row>
    <row r="5" spans="1:7" ht="15.95" hidden="1" customHeight="1">
      <c r="B5" s="393">
        <v>7</v>
      </c>
      <c r="C5" s="3"/>
      <c r="D5" s="985"/>
      <c r="E5" s="243"/>
    </row>
    <row r="6" spans="1:7" ht="15.95" customHeight="1">
      <c r="A6" s="11">
        <v>91</v>
      </c>
      <c r="B6" s="6" t="str">
        <f>IFERROR(INDEX(lista[],MATCH($A6,lista[ID],0),MATCH(språk,lista[#Headers],0)),"")</f>
        <v>Energy supply</v>
      </c>
      <c r="C6" s="7"/>
      <c r="D6" s="985"/>
    </row>
    <row r="7" spans="1:7" ht="15.95" customHeight="1">
      <c r="A7" s="11">
        <v>92</v>
      </c>
      <c r="B7" s="8" t="str">
        <f>IFERROR(INDEX(lista[],MATCH($A7,lista[ID],0),MATCH(språk,lista[#Headers],0)),"")</f>
        <v>Domestic supply</v>
      </c>
      <c r="C7" s="9" t="s">
        <v>9</v>
      </c>
      <c r="D7" s="986"/>
    </row>
    <row r="8" spans="1:7" ht="15.95" customHeight="1">
      <c r="A8" s="11">
        <v>93</v>
      </c>
      <c r="B8" s="732" t="str">
        <f>IFERROR(INDEX(lista[],MATCH($A8,lista[ID],0),MATCH(språk,lista[#Headers],0)),"")</f>
        <v>Biomass</v>
      </c>
      <c r="C8" s="733">
        <v>133.54361111111109</v>
      </c>
      <c r="D8" s="987"/>
    </row>
    <row r="9" spans="1:7" ht="15.95" customHeight="1">
      <c r="A9" s="11">
        <v>94</v>
      </c>
      <c r="B9" s="10" t="str">
        <f>IFERROR(INDEX(lista[],MATCH($A9,lista[ID],0),MATCH(språk,lista[#Headers],0)),"")</f>
        <v>Coal and coke</v>
      </c>
      <c r="C9" s="241">
        <v>18.876111111111108</v>
      </c>
      <c r="D9" s="987"/>
      <c r="E9" s="4">
        <v>126</v>
      </c>
      <c r="F9" s="2" t="str">
        <f>IFERROR(INDEX(lista[],MATCH($E9,lista[ID],0),MATCH(språk,lista[#Headers],0)),"")</f>
        <v>Total final energy use, per sector</v>
      </c>
      <c r="G9" s="13"/>
    </row>
    <row r="10" spans="1:7" ht="15.95" customHeight="1">
      <c r="A10" s="11">
        <v>95</v>
      </c>
      <c r="B10" s="734" t="str">
        <f>IFERROR(INDEX(lista[],MATCH($A10,lista[ID],0),MATCH(språk,lista[#Headers],0)),"")</f>
        <v>Crude oil and oil products</v>
      </c>
      <c r="C10" s="735">
        <v>119.25055555555556</v>
      </c>
      <c r="D10" s="987"/>
      <c r="E10" s="4">
        <v>127</v>
      </c>
      <c r="F10" s="14" t="str">
        <f>IFERROR(INDEX(lista[],MATCH($E10,lista[ID],0),MATCH(språk,lista[#Headers],0)),"")</f>
        <v>Industry</v>
      </c>
      <c r="G10" s="15" t="s">
        <v>9</v>
      </c>
    </row>
    <row r="11" spans="1:7" ht="15.95" customHeight="1">
      <c r="A11" s="11">
        <v>96</v>
      </c>
      <c r="B11" s="10" t="str">
        <f>IFERROR(INDEX(lista[],MATCH($A11,lista[ID],0),MATCH(språk,lista[#Headers],0)),"")</f>
        <v>Natural gas, gasworks gas</v>
      </c>
      <c r="C11" s="241">
        <v>10.373055555555554</v>
      </c>
      <c r="D11" s="987"/>
      <c r="E11" s="4">
        <v>128</v>
      </c>
      <c r="F11" s="734" t="str">
        <f>IFERROR(INDEX(lista[],MATCH($E11,lista[ID],0),MATCH(språk,lista[#Headers],0)),"")</f>
        <v>Biomass</v>
      </c>
      <c r="G11" s="735">
        <v>56.738055555555555</v>
      </c>
    </row>
    <row r="12" spans="1:7" ht="15.95" customHeight="1">
      <c r="A12" s="11">
        <v>97</v>
      </c>
      <c r="B12" s="734" t="str">
        <f>IFERROR(INDEX(lista[],MATCH($A12,lista[ID],0),MATCH(språk,lista[#Headers],0)),"")</f>
        <v>Other fuels</v>
      </c>
      <c r="C12" s="735">
        <v>13.781388888888889</v>
      </c>
      <c r="D12" s="987"/>
      <c r="E12" s="4">
        <v>129</v>
      </c>
      <c r="F12" s="10" t="str">
        <f>IFERROR(INDEX(lista[],MATCH($E12,lista[ID],0),MATCH(språk,lista[#Headers],0)),"")</f>
        <v>Coal and coke</v>
      </c>
      <c r="G12" s="241">
        <v>13.604722222222223</v>
      </c>
    </row>
    <row r="13" spans="1:7" ht="15.95" customHeight="1">
      <c r="A13" s="11">
        <v>98</v>
      </c>
      <c r="B13" s="10" t="str">
        <f>IFERROR(INDEX(lista[],MATCH($A13,lista[ID],0),MATCH(språk,lista[#Headers],0)),"")</f>
        <v xml:space="preserve">Nuclear fuel2 </v>
      </c>
      <c r="C13" s="241">
        <v>155.35083333333336</v>
      </c>
      <c r="D13" s="987"/>
      <c r="E13" s="4">
        <v>130</v>
      </c>
      <c r="F13" s="734" t="str">
        <f>IFERROR(INDEX(lista[],MATCH($E13,lista[ID],0),MATCH(språk,lista[#Headers],0)),"")</f>
        <v>Oil products</v>
      </c>
      <c r="G13" s="735">
        <v>8.4519444444444431</v>
      </c>
    </row>
    <row r="14" spans="1:7" ht="15.95" customHeight="1">
      <c r="A14" s="11">
        <v>99</v>
      </c>
      <c r="B14" s="734" t="str">
        <f>IFERROR(INDEX(lista[],MATCH($A14,lista[ID],0),MATCH(språk,lista[#Headers],0)),"")</f>
        <v xml:space="preserve">Primary heat1 </v>
      </c>
      <c r="C14" s="735">
        <v>4.9258333333333333</v>
      </c>
      <c r="D14" s="987"/>
      <c r="E14" s="4">
        <v>131</v>
      </c>
      <c r="F14" s="10" t="str">
        <f>IFERROR(INDEX(lista[],MATCH($E14,lista[ID],0),MATCH(språk,lista[#Headers],0)),"")</f>
        <v>Natural gas, gasworks gas</v>
      </c>
      <c r="G14" s="241">
        <v>3.9147222222222222</v>
      </c>
    </row>
    <row r="15" spans="1:7" ht="15.95" customHeight="1">
      <c r="A15" s="11">
        <v>100</v>
      </c>
      <c r="B15" s="10" t="str">
        <f>IFERROR(INDEX(lista[],MATCH($A15,lista[ID],0),MATCH(språk,lista[#Headers],0)),"")</f>
        <v>Hydropower</v>
      </c>
      <c r="C15" s="241">
        <v>75.3125</v>
      </c>
      <c r="D15" s="987"/>
      <c r="E15" s="4">
        <v>132</v>
      </c>
      <c r="F15" s="734" t="str">
        <f>IFERROR(INDEX(lista[],MATCH($E15,lista[ID],0),MATCH(språk,lista[#Headers],0)),"")</f>
        <v>Other fuels</v>
      </c>
      <c r="G15" s="735">
        <v>4.7405555555555559</v>
      </c>
    </row>
    <row r="16" spans="1:7" ht="15.95" customHeight="1">
      <c r="A16" s="11">
        <v>101</v>
      </c>
      <c r="B16" s="734" t="str">
        <f>IFERROR(INDEX(lista[],MATCH($A16,lista[ID],0),MATCH(språk,lista[#Headers],0)),"")</f>
        <v>Wind power</v>
      </c>
      <c r="C16" s="735">
        <v>16.267777777777777</v>
      </c>
      <c r="D16" s="987"/>
      <c r="E16" s="4">
        <v>133</v>
      </c>
      <c r="F16" s="10" t="str">
        <f>IFERROR(INDEX(lista[],MATCH($E16,lista[ID],0),MATCH(språk,lista[#Headers],0)),"")</f>
        <v>District heating</v>
      </c>
      <c r="G16" s="241">
        <v>3.8461111111111101</v>
      </c>
    </row>
    <row r="17" spans="1:7" ht="15.95" customHeight="1">
      <c r="A17" s="11">
        <v>102</v>
      </c>
      <c r="B17" s="10" t="str">
        <f>IFERROR(INDEX(lista[],MATCH($A17,lista[ID],0),MATCH(språk,lista[#Headers],0)),"")</f>
        <v xml:space="preserve">Import-export of electricity3 </v>
      </c>
      <c r="C17" s="241">
        <v>-22.600555555555555</v>
      </c>
      <c r="D17" s="987"/>
      <c r="E17" s="4">
        <v>134</v>
      </c>
      <c r="F17" s="734" t="str">
        <f>IFERROR(INDEX(lista[],MATCH($E17,lista[ID],0),MATCH(språk,lista[#Headers],0)),"")</f>
        <v>Electricity</v>
      </c>
      <c r="G17" s="735">
        <v>49.081666666666663</v>
      </c>
    </row>
    <row r="18" spans="1:7" ht="15.95" customHeight="1">
      <c r="A18" s="11">
        <v>103</v>
      </c>
      <c r="B18" s="16" t="str">
        <f>IFERROR(INDEX(lista[],MATCH($A18,lista[ID],0),MATCH(språk,lista[#Headers],0)),"")</f>
        <v>Total</v>
      </c>
      <c r="C18" s="22">
        <v>525.08111111111111</v>
      </c>
      <c r="D18" s="988"/>
      <c r="E18" s="4">
        <v>135</v>
      </c>
      <c r="F18" s="16" t="str">
        <f>IFERROR(INDEX(lista[],MATCH($E18,lista[ID],0),MATCH(språk,lista[#Headers],0)),"")</f>
        <v>Total</v>
      </c>
      <c r="G18" s="17">
        <v>140.37777777777779</v>
      </c>
    </row>
    <row r="19" spans="1:7" ht="15.95" customHeight="1">
      <c r="B19" s="5"/>
      <c r="C19" s="3"/>
      <c r="D19" s="985"/>
    </row>
    <row r="20" spans="1:7" ht="15.95" customHeight="1">
      <c r="A20" s="11">
        <v>104</v>
      </c>
      <c r="B20" s="2" t="str">
        <f>IFERROR(INDEX(lista[],MATCH($A20,lista[ID],0),MATCH(språk,lista[#Headers],0)),"")</f>
        <v>Energy use</v>
      </c>
      <c r="C20" s="18"/>
      <c r="D20" s="989"/>
      <c r="F20" s="5"/>
      <c r="G20" s="19"/>
    </row>
    <row r="21" spans="1:7" ht="15.95" customHeight="1">
      <c r="A21" s="11">
        <v>105</v>
      </c>
      <c r="B21" s="14" t="str">
        <f>IFERROR(INDEX(lista[],MATCH($A21,lista[ID],0),MATCH(språk,lista[#Headers],0)),"")</f>
        <v xml:space="preserve">Losses and non-energy use </v>
      </c>
      <c r="C21" s="15" t="s">
        <v>9</v>
      </c>
      <c r="D21" s="986"/>
      <c r="E21" s="4">
        <v>136</v>
      </c>
      <c r="F21" s="14" t="str">
        <f>IFERROR(INDEX(lista[],MATCH($E21,lista[ID],0),MATCH(språk,lista[#Headers],0)),"")</f>
        <v>Transports</v>
      </c>
      <c r="G21" s="15" t="s">
        <v>9</v>
      </c>
    </row>
    <row r="22" spans="1:7" ht="15.95" customHeight="1">
      <c r="A22" s="11">
        <v>106</v>
      </c>
      <c r="B22" s="734" t="str">
        <f>IFERROR(INDEX(lista[],MATCH($A22,lista[ID],0),MATCH(språk,lista[#Headers],0)),"")</f>
        <v>Non-energy purposes</v>
      </c>
      <c r="C22" s="735">
        <v>35.078055555555558</v>
      </c>
      <c r="D22" s="987"/>
      <c r="E22" s="4">
        <v>137</v>
      </c>
      <c r="F22" s="734" t="str">
        <f>IFERROR(INDEX(lista[],MATCH($E22,lista[ID],0),MATCH(språk,lista[#Headers],0)),"")</f>
        <v>Biofuels</v>
      </c>
      <c r="G22" s="735">
        <v>13.186388888888889</v>
      </c>
    </row>
    <row r="23" spans="1:7" ht="15.95" customHeight="1">
      <c r="A23" s="11">
        <v>107</v>
      </c>
      <c r="B23" s="10" t="str">
        <f>IFERROR(INDEX(lista[],MATCH($A23,lista[ID],0),MATCH(språk,lista[#Headers],0)),"")</f>
        <v>Transformation and distribution losses</v>
      </c>
      <c r="C23" s="241">
        <v>35.723888888888901</v>
      </c>
      <c r="D23" s="987"/>
      <c r="E23" s="4">
        <v>138</v>
      </c>
      <c r="F23" s="10" t="str">
        <f>IFERROR(INDEX(lista[],MATCH($E23,lista[ID],0),MATCH(språk,lista[#Headers],0)),"")</f>
        <v>Oil products</v>
      </c>
      <c r="G23" s="241">
        <v>70.929444444444428</v>
      </c>
    </row>
    <row r="24" spans="1:7" ht="15.95" customHeight="1">
      <c r="A24" s="11">
        <v>108</v>
      </c>
      <c r="B24" s="734" t="str">
        <f>IFERROR(INDEX(lista[],MATCH($A24,lista[ID],0),MATCH(språk,lista[#Headers],0)),"")</f>
        <v>Nuclear power losses</v>
      </c>
      <c r="C24" s="735">
        <v>99.002500000000012</v>
      </c>
      <c r="D24" s="987"/>
      <c r="E24" s="4">
        <v>139</v>
      </c>
      <c r="F24" s="734" t="str">
        <f>IFERROR(INDEX(lista[],MATCH($E24,lista[ID],0),MATCH(språk,lista[#Headers],0)),"")</f>
        <v>Natural gas</v>
      </c>
      <c r="G24" s="735">
        <v>0.46944444444444444</v>
      </c>
    </row>
    <row r="25" spans="1:7" ht="15.95" customHeight="1">
      <c r="A25" s="11">
        <v>109</v>
      </c>
      <c r="B25" s="16" t="str">
        <f>IFERROR(INDEX(lista[],MATCH($A25,lista[ID],0),MATCH(språk,lista[#Headers],0)),"")</f>
        <v>Total</v>
      </c>
      <c r="C25" s="22">
        <v>185.84305555555557</v>
      </c>
      <c r="D25" s="988"/>
      <c r="E25" s="4">
        <v>140</v>
      </c>
      <c r="F25" s="20" t="str">
        <f>IFERROR(INDEX(lista[],MATCH($E25,lista[ID],0),MATCH(språk,lista[#Headers],0)),"")</f>
        <v>Electricity</v>
      </c>
      <c r="G25" s="242">
        <v>2.5950000000000002</v>
      </c>
    </row>
    <row r="26" spans="1:7" ht="15.95" customHeight="1">
      <c r="E26" s="4">
        <v>141</v>
      </c>
      <c r="F26" s="5" t="str">
        <f>IFERROR(INDEX(lista[],MATCH($E26,lista[ID],0),MATCH(språk,lista[#Headers],0)),"")</f>
        <v>Total</v>
      </c>
      <c r="G26" s="21">
        <v>87.180277777777761</v>
      </c>
    </row>
    <row r="27" spans="1:7" ht="15.95" customHeight="1">
      <c r="A27" s="11">
        <v>110</v>
      </c>
      <c r="B27" s="14" t="str">
        <f>IFERROR(INDEX(lista[],MATCH($A27,lista[ID],0),MATCH(språk,lista[#Headers],0)),"")</f>
        <v>Total final energy use, per energy carrier</v>
      </c>
      <c r="C27" s="15" t="s">
        <v>9</v>
      </c>
      <c r="D27" s="986"/>
      <c r="F27" s="11"/>
      <c r="G27" s="310"/>
    </row>
    <row r="28" spans="1:7" ht="15.95" customHeight="1">
      <c r="A28" s="11">
        <v>111</v>
      </c>
      <c r="B28" s="734" t="str">
        <f>IFERROR(INDEX(lista[],MATCH($A28,lista[ID],0),MATCH(språk,lista[#Headers],0)),"")</f>
        <v>Biomass</v>
      </c>
      <c r="C28" s="735">
        <v>83.516666666666666</v>
      </c>
      <c r="D28" s="987"/>
      <c r="F28" s="11"/>
      <c r="G28" s="11"/>
    </row>
    <row r="29" spans="1:7" ht="15.95" customHeight="1">
      <c r="A29" s="11">
        <v>112</v>
      </c>
      <c r="B29" s="10" t="str">
        <f>IFERROR(INDEX(lista[],MATCH($A29,lista[ID],0),MATCH(språk,lista[#Headers],0)),"")</f>
        <v>Coal and coke</v>
      </c>
      <c r="C29" s="241">
        <v>13.606944444444446</v>
      </c>
      <c r="D29" s="987"/>
      <c r="E29" s="4">
        <v>142</v>
      </c>
      <c r="F29" s="14" t="str">
        <f>IFERROR(INDEX(lista[],MATCH($E29,lista[ID],0),MATCH(språk,lista[#Headers],0)),"")</f>
        <v>Residential and services</v>
      </c>
      <c r="G29" s="15" t="s">
        <v>9</v>
      </c>
    </row>
    <row r="30" spans="1:7" ht="15.95" customHeight="1">
      <c r="A30" s="11">
        <v>113</v>
      </c>
      <c r="B30" s="734" t="str">
        <f>IFERROR(INDEX(lista[],MATCH($A30,lista[ID],0),MATCH(språk,lista[#Headers],0)),"")</f>
        <v>Oil products</v>
      </c>
      <c r="C30" s="735">
        <v>91.464166666666657</v>
      </c>
      <c r="D30" s="987"/>
      <c r="E30" s="4">
        <v>143</v>
      </c>
      <c r="F30" s="734" t="str">
        <f>IFERROR(INDEX(lista[],MATCH($E30,lista[ID],0),MATCH(språk,lista[#Headers],0)),"")</f>
        <v>Biomass</v>
      </c>
      <c r="G30" s="735">
        <v>13.592222222222222</v>
      </c>
    </row>
    <row r="31" spans="1:7" ht="15.95" customHeight="1">
      <c r="A31" s="11">
        <v>114</v>
      </c>
      <c r="B31" s="10" t="str">
        <f>IFERROR(INDEX(lista[],MATCH($A31,lista[ID],0),MATCH(språk,lista[#Headers],0)),"")</f>
        <v>Natural gas, gasworks gas</v>
      </c>
      <c r="C31" s="241">
        <v>5.9463888888888885</v>
      </c>
      <c r="D31" s="987"/>
      <c r="E31" s="4">
        <v>144</v>
      </c>
      <c r="F31" s="10" t="str">
        <f>IFERROR(INDEX(lista[],MATCH($E31,lista[ID],0),MATCH(språk,lista[#Headers],0)),"")</f>
        <v>Coal and coke</v>
      </c>
      <c r="G31" s="241">
        <v>0</v>
      </c>
    </row>
    <row r="32" spans="1:7" ht="15.95" customHeight="1">
      <c r="A32" s="11">
        <v>115</v>
      </c>
      <c r="B32" s="734" t="str">
        <f>IFERROR(INDEX(lista[],MATCH($A32,lista[ID],0),MATCH(språk,lista[#Headers],0)),"")</f>
        <v>Other fuels</v>
      </c>
      <c r="C32" s="735">
        <v>4.7805555555555559</v>
      </c>
      <c r="D32" s="987"/>
      <c r="E32" s="4">
        <v>145</v>
      </c>
      <c r="F32" s="734" t="str">
        <f>IFERROR(INDEX(lista[],MATCH($E32,lista[ID],0),MATCH(språk,lista[#Headers],0)),"")</f>
        <v>Oil products</v>
      </c>
      <c r="G32" s="735">
        <v>12.058333333333332</v>
      </c>
    </row>
    <row r="33" spans="1:8" ht="15.95" customHeight="1">
      <c r="A33" s="11">
        <v>116</v>
      </c>
      <c r="B33" s="10" t="str">
        <f>IFERROR(INDEX(lista[],MATCH($A33,lista[ID],0),MATCH(språk,lista[#Headers],0)),"")</f>
        <v>District heating</v>
      </c>
      <c r="C33" s="241">
        <v>48.595833333333331</v>
      </c>
      <c r="D33" s="987"/>
      <c r="E33" s="4">
        <v>146</v>
      </c>
      <c r="F33" s="10" t="str">
        <f>IFERROR(INDEX(lista[],MATCH($E33,lista[ID],0),MATCH(språk,lista[#Headers],0)),"")</f>
        <v>Natural gas, gasworks gas</v>
      </c>
      <c r="G33" s="241">
        <v>1.5866666666666667</v>
      </c>
    </row>
    <row r="34" spans="1:8" ht="15.95" customHeight="1">
      <c r="A34" s="11">
        <v>117</v>
      </c>
      <c r="B34" s="734" t="str">
        <f>IFERROR(INDEX(lista[],MATCH($A34,lista[ID],0),MATCH(språk,lista[#Headers],0)),"")</f>
        <v>Electricity</v>
      </c>
      <c r="C34" s="735">
        <v>122.36527777777778</v>
      </c>
      <c r="D34" s="987"/>
      <c r="E34" s="4">
        <v>147</v>
      </c>
      <c r="F34" s="734" t="str">
        <f>IFERROR(INDEX(lista[],MATCH($E34,lista[ID],0),MATCH(språk,lista[#Headers],0)),"")</f>
        <v>Other fuels</v>
      </c>
      <c r="G34" s="735">
        <v>0.04</v>
      </c>
    </row>
    <row r="35" spans="1:8" ht="15.95" customHeight="1">
      <c r="A35" s="11">
        <v>118</v>
      </c>
      <c r="B35" s="16" t="str">
        <f>IFERROR(INDEX(lista[],MATCH($A35,lista[ID],0),MATCH(språk,lista[#Headers],0)),"")</f>
        <v>Total</v>
      </c>
      <c r="C35" s="22">
        <v>370.27583333333337</v>
      </c>
      <c r="D35" s="988"/>
      <c r="E35" s="4">
        <v>148</v>
      </c>
      <c r="F35" s="4" t="str">
        <f>IFERROR(INDEX(lista[],MATCH($E35,lista[ID],0),MATCH(språk,lista[#Headers],0)),"")</f>
        <v>District heating</v>
      </c>
      <c r="G35" s="200">
        <v>44.749722222222218</v>
      </c>
    </row>
    <row r="36" spans="1:8" ht="15.95" customHeight="1">
      <c r="E36" s="4">
        <v>149</v>
      </c>
      <c r="F36" s="734" t="str">
        <f>IFERROR(INDEX(lista[],MATCH($E36,lista[ID],0),MATCH(språk,lista[#Headers],0)),"")</f>
        <v>Electricity</v>
      </c>
      <c r="G36" s="735">
        <v>70.688611111111115</v>
      </c>
    </row>
    <row r="37" spans="1:8" ht="15.95" customHeight="1" thickBot="1">
      <c r="B37" s="23"/>
      <c r="C37" s="613" t="s">
        <v>9</v>
      </c>
      <c r="D37" s="990"/>
      <c r="E37" s="4">
        <v>150</v>
      </c>
      <c r="F37" s="16" t="str">
        <f>IFERROR(INDEX(lista[],MATCH($E37,lista[ID],0),MATCH(språk,lista[#Headers],0)),"")</f>
        <v>Total</v>
      </c>
      <c r="G37" s="17">
        <v>142.71555555555557</v>
      </c>
    </row>
    <row r="38" spans="1:8" ht="15.95" customHeight="1" thickTop="1">
      <c r="A38" s="11">
        <v>119</v>
      </c>
      <c r="B38" s="736" t="str">
        <f>IFERROR(INDEX(lista[],MATCH($A38,lista[ID],0),MATCH(språk,lista[#Headers],0)),"")</f>
        <v>Total final energy use, losses and non-energy use</v>
      </c>
      <c r="C38" s="737">
        <v>540.07805555555558</v>
      </c>
      <c r="D38" s="988"/>
      <c r="F38" s="12"/>
      <c r="G38" s="657"/>
    </row>
    <row r="39" spans="1:8" ht="15.95" customHeight="1">
      <c r="B39" s="12"/>
      <c r="C39" s="21"/>
      <c r="D39" s="988"/>
      <c r="F39" s="12"/>
      <c r="G39" s="657"/>
    </row>
    <row r="40" spans="1:8" ht="15.95" customHeight="1" thickBot="1">
      <c r="C40" s="15" t="s">
        <v>9</v>
      </c>
      <c r="D40" s="986"/>
      <c r="F40" s="23"/>
      <c r="G40" s="613" t="s">
        <v>9</v>
      </c>
      <c r="H40" s="218"/>
    </row>
    <row r="41" spans="1:8" ht="15.95" customHeight="1" thickTop="1">
      <c r="A41" s="11">
        <v>120</v>
      </c>
      <c r="B41" s="738" t="str">
        <f>IFERROR(INDEX(lista[],MATCH($A41,lista[ID],0),MATCH(språk,lista[#Headers],0)),"")</f>
        <v>Statistical difference between energy supply and use</v>
      </c>
      <c r="C41" s="739">
        <v>-14.996944444444443</v>
      </c>
      <c r="D41" s="991"/>
      <c r="E41" s="4">
        <v>151</v>
      </c>
      <c r="F41" s="740" t="str">
        <f>IFERROR(INDEX(lista[],MATCH($E41,lista[ID],0),MATCH(språk,lista[#Headers],0)),"")</f>
        <v>Total final energy use in sectors</v>
      </c>
      <c r="G41" s="737">
        <v>370.27361111111111</v>
      </c>
      <c r="H41" s="218"/>
    </row>
    <row r="42" spans="1:8" ht="15.95" customHeight="1">
      <c r="B42" s="27"/>
      <c r="C42" s="27"/>
      <c r="D42" s="992"/>
      <c r="F42" s="24"/>
      <c r="G42" s="21"/>
      <c r="H42" s="218"/>
    </row>
    <row r="43" spans="1:8" ht="15.95" customHeight="1">
      <c r="A43" s="11">
        <v>121</v>
      </c>
      <c r="B43" s="26" t="str">
        <f>IFERROR(INDEX(lista[],MATCH($A43,lista[ID],0),MATCH(språk,lista[#Headers],0)),"")</f>
        <v>Source: Swedish Energy Agency</v>
      </c>
      <c r="C43" s="21"/>
      <c r="D43" s="988"/>
      <c r="F43" s="11"/>
      <c r="G43" s="11"/>
    </row>
    <row r="44" spans="1:8" ht="15.95" customHeight="1">
      <c r="A44" s="11">
        <v>122</v>
      </c>
      <c r="B44" s="26" t="str">
        <f>IFERROR(INDEX(lista[],MATCH($A44,lista[ID],0),MATCH(språk,lista[#Headers],0)),"")</f>
        <v>Notes:</v>
      </c>
      <c r="C44" s="21"/>
      <c r="D44" s="988"/>
      <c r="F44" s="11"/>
      <c r="G44" s="11"/>
    </row>
    <row r="45" spans="1:8" ht="15.95" customHeight="1">
      <c r="A45" s="11">
        <v>123</v>
      </c>
      <c r="B45" s="26" t="str">
        <f>IFERROR(INDEX(lista[],MATCH($A45,lista[ID],0),MATCH(språk,lista[#Headers],0)),"")</f>
        <v xml:space="preserve">1) Primary heat refers to large heat pumps in the energy sector. </v>
      </c>
      <c r="F45" s="11"/>
      <c r="G45" s="11"/>
      <c r="H45" s="218"/>
    </row>
    <row r="46" spans="1:8" ht="15.95" customHeight="1">
      <c r="A46" s="11">
        <v>124</v>
      </c>
      <c r="B46" s="26" t="str">
        <f>IFERROR(INDEX(lista[],MATCH($A46,lista[ID],0),MATCH(språk,lista[#Headers],0)),"")</f>
        <v>2) Nuclear energy figures are reported gross, i.e. as supplied nuclear fuel energy in accordance with UNECE guidelines.</v>
      </c>
      <c r="F46" s="11"/>
      <c r="G46" s="11"/>
    </row>
    <row r="47" spans="1:8" ht="15.95" customHeight="1">
      <c r="A47" s="11">
        <v>125</v>
      </c>
      <c r="B47" s="26" t="str">
        <f>IFERROR(INDEX(lista[],MATCH($A47,lista[ID],0),MATCH(språk,lista[#Headers],0)),"")</f>
        <v>3) Net imports of electricity are counted as supply.</v>
      </c>
      <c r="F47" s="11"/>
      <c r="G47" s="11"/>
      <c r="H47" s="11"/>
    </row>
    <row r="48" spans="1:8" ht="14.65">
      <c r="B48" s="25"/>
      <c r="H48" s="11"/>
    </row>
    <row r="49" spans="2:8">
      <c r="H49" s="11"/>
    </row>
    <row r="50" spans="2:8">
      <c r="H50" s="11"/>
    </row>
    <row r="51" spans="2:8">
      <c r="H51" s="11"/>
    </row>
    <row r="52" spans="2:8">
      <c r="B52" s="27"/>
      <c r="H52" s="11"/>
    </row>
    <row r="53" spans="2:8">
      <c r="H53" s="11"/>
    </row>
    <row r="54" spans="2:8">
      <c r="H54" s="11"/>
    </row>
    <row r="55" spans="2:8">
      <c r="H55" s="11"/>
    </row>
    <row r="56" spans="2:8">
      <c r="H56" s="11"/>
    </row>
    <row r="80" spans="2:4">
      <c r="B80" s="12"/>
      <c r="C80" s="7"/>
      <c r="D80" s="985"/>
    </row>
    <row r="81" spans="2:4">
      <c r="C81" s="28"/>
      <c r="D81" s="993"/>
    </row>
    <row r="82" spans="2:4">
      <c r="B82" s="29"/>
      <c r="C82" s="30"/>
      <c r="D82" s="994"/>
    </row>
  </sheetData>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theme="0"/>
  </sheetPr>
  <dimension ref="A1:F37"/>
  <sheetViews>
    <sheetView zoomScaleNormal="100" workbookViewId="0">
      <pane ySplit="6" topLeftCell="A7" activePane="bottomLeft" state="frozen"/>
      <selection pane="bottomLeft" activeCell="C1" sqref="C1"/>
    </sheetView>
  </sheetViews>
  <sheetFormatPr defaultColWidth="9.1328125" defaultRowHeight="14.25"/>
  <cols>
    <col min="1" max="1" width="13.1328125" style="549" customWidth="1"/>
    <col min="2" max="4" width="16.73046875" style="549" customWidth="1"/>
    <col min="5" max="16384" width="9.1328125" style="549"/>
  </cols>
  <sheetData>
    <row r="1" spans="1:6">
      <c r="A1" s="524" t="str">
        <f>IF(språk=lista[[#Headers],[Svenska]],"Innehåll",IF(språk=lista[[#Headers],[English]],"Contents","FEL"))</f>
        <v>Contents</v>
      </c>
    </row>
    <row r="3" spans="1:6" ht="15.75">
      <c r="A3" s="421" t="str">
        <f>IFERROR(INDEX(lista[],MATCH($A5,lista[ID],0),MATCH(språk,lista[#Headers],0)),"")</f>
        <v xml:space="preserve">Energy tax electricity, from 1993, nominal prices, öre/kWh </v>
      </c>
    </row>
    <row r="5" spans="1:6" hidden="1">
      <c r="A5" s="549">
        <v>48</v>
      </c>
      <c r="B5" s="549" t="s">
        <v>647</v>
      </c>
      <c r="C5" s="549" t="s">
        <v>648</v>
      </c>
      <c r="D5" s="549" t="s">
        <v>649</v>
      </c>
    </row>
    <row r="6" spans="1:6" ht="42.75" customHeight="1">
      <c r="A6" s="983"/>
      <c r="B6" s="189" t="str">
        <f>IFERROR(INDEX(_6.14[],MATCH(språk,_6.14[[id]:[id]],0),MATCH(B$5,_6.14[#Headers],0)),"")</f>
        <v>Industrial processes</v>
      </c>
      <c r="C6" s="189" t="str">
        <f>IFERROR(INDEX(_6.14[],MATCH(språk,_6.14[[id]:[id]],0),MATCH(C$5,_6.14[#Headers],0)),"")</f>
        <v>Certain northern municipalities1</v>
      </c>
      <c r="D6" s="189" t="str">
        <f>IFERROR(INDEX(_6.14[],MATCH(språk,_6.14[[id]:[id]],0),MATCH(D$5,_6.14[#Headers],0)),"")</f>
        <v>Other</v>
      </c>
      <c r="F6" s="705"/>
    </row>
    <row r="7" spans="1:6">
      <c r="A7" s="934">
        <v>33970</v>
      </c>
      <c r="B7" s="798">
        <v>0</v>
      </c>
      <c r="C7" s="798">
        <v>3.5</v>
      </c>
      <c r="D7" s="798">
        <v>8.5</v>
      </c>
    </row>
    <row r="8" spans="1:6">
      <c r="A8" s="935">
        <v>34335</v>
      </c>
      <c r="B8" s="138">
        <v>0</v>
      </c>
      <c r="C8" s="138">
        <v>3.6</v>
      </c>
      <c r="D8" s="138">
        <v>8.8000000000000007</v>
      </c>
    </row>
    <row r="9" spans="1:6">
      <c r="A9" s="934">
        <v>34700</v>
      </c>
      <c r="B9" s="798">
        <v>0</v>
      </c>
      <c r="C9" s="798">
        <v>3.7</v>
      </c>
      <c r="D9" s="798">
        <v>9</v>
      </c>
    </row>
    <row r="10" spans="1:6">
      <c r="A10" s="935">
        <v>35065</v>
      </c>
      <c r="B10" s="138">
        <v>0</v>
      </c>
      <c r="C10" s="138">
        <v>4.3</v>
      </c>
      <c r="D10" s="138">
        <v>9.6999999999999993</v>
      </c>
    </row>
    <row r="11" spans="1:6">
      <c r="A11" s="934">
        <v>35309</v>
      </c>
      <c r="B11" s="798">
        <v>0</v>
      </c>
      <c r="C11" s="798">
        <v>5.8</v>
      </c>
      <c r="D11" s="798">
        <v>11.3</v>
      </c>
    </row>
    <row r="12" spans="1:6">
      <c r="A12" s="935">
        <v>35612</v>
      </c>
      <c r="B12" s="138">
        <v>0</v>
      </c>
      <c r="C12" s="138">
        <v>8.1999999999999993</v>
      </c>
      <c r="D12" s="138">
        <v>13.8</v>
      </c>
    </row>
    <row r="13" spans="1:6">
      <c r="A13" s="934">
        <v>35796</v>
      </c>
      <c r="B13" s="798">
        <v>0</v>
      </c>
      <c r="C13" s="798">
        <v>9.6</v>
      </c>
      <c r="D13" s="798">
        <v>15.2</v>
      </c>
    </row>
    <row r="14" spans="1:6">
      <c r="A14" s="935">
        <v>36100</v>
      </c>
      <c r="B14" s="138">
        <v>0</v>
      </c>
      <c r="C14" s="138">
        <v>9.6</v>
      </c>
      <c r="D14" s="138">
        <v>15.2</v>
      </c>
    </row>
    <row r="15" spans="1:6">
      <c r="A15" s="934">
        <v>36161</v>
      </c>
      <c r="B15" s="798">
        <v>0</v>
      </c>
      <c r="C15" s="798">
        <v>9.5</v>
      </c>
      <c r="D15" s="798">
        <v>15.1</v>
      </c>
    </row>
    <row r="16" spans="1:6">
      <c r="A16" s="935">
        <v>36526</v>
      </c>
      <c r="B16" s="138">
        <v>0</v>
      </c>
      <c r="C16" s="138">
        <v>10.6</v>
      </c>
      <c r="D16" s="138">
        <v>16.2</v>
      </c>
    </row>
    <row r="17" spans="1:4">
      <c r="A17" s="934">
        <v>36892</v>
      </c>
      <c r="B17" s="798">
        <v>0</v>
      </c>
      <c r="C17" s="798">
        <v>12.5</v>
      </c>
      <c r="D17" s="798">
        <v>18.100000000000001</v>
      </c>
    </row>
    <row r="18" spans="1:4">
      <c r="A18" s="935">
        <v>37257</v>
      </c>
      <c r="B18" s="138">
        <v>0</v>
      </c>
      <c r="C18" s="138">
        <v>14</v>
      </c>
      <c r="D18" s="138">
        <v>19.8</v>
      </c>
    </row>
    <row r="19" spans="1:4">
      <c r="A19" s="934">
        <v>37622</v>
      </c>
      <c r="B19" s="798">
        <v>0</v>
      </c>
      <c r="C19" s="798">
        <v>16.8</v>
      </c>
      <c r="D19" s="798">
        <v>22.7</v>
      </c>
    </row>
    <row r="20" spans="1:4">
      <c r="A20" s="935">
        <v>37987</v>
      </c>
      <c r="B20" s="138">
        <v>0</v>
      </c>
      <c r="C20" s="138">
        <v>18.100000000000001</v>
      </c>
      <c r="D20" s="138">
        <v>24.1</v>
      </c>
    </row>
    <row r="21" spans="1:4">
      <c r="A21" s="934">
        <v>38169</v>
      </c>
      <c r="B21" s="798">
        <v>0.5</v>
      </c>
      <c r="C21" s="798">
        <v>18.100000000000001</v>
      </c>
      <c r="D21" s="798">
        <v>24.1</v>
      </c>
    </row>
    <row r="22" spans="1:4">
      <c r="A22" s="935">
        <v>38353</v>
      </c>
      <c r="B22" s="138">
        <v>0.5</v>
      </c>
      <c r="C22" s="138">
        <v>19.399999999999999</v>
      </c>
      <c r="D22" s="138">
        <v>25.4</v>
      </c>
    </row>
    <row r="23" spans="1:4">
      <c r="A23" s="934">
        <v>38718</v>
      </c>
      <c r="B23" s="798">
        <v>0.5</v>
      </c>
      <c r="C23" s="798">
        <v>20.100000000000001</v>
      </c>
      <c r="D23" s="798">
        <v>26.1</v>
      </c>
    </row>
    <row r="24" spans="1:4">
      <c r="A24" s="935">
        <v>39083</v>
      </c>
      <c r="B24" s="138">
        <v>0.5</v>
      </c>
      <c r="C24" s="138">
        <v>20.399999999999999</v>
      </c>
      <c r="D24" s="138">
        <v>26.5</v>
      </c>
    </row>
    <row r="25" spans="1:4">
      <c r="A25" s="934">
        <v>39448</v>
      </c>
      <c r="B25" s="798">
        <v>0.5</v>
      </c>
      <c r="C25" s="798">
        <v>17.8</v>
      </c>
      <c r="D25" s="798">
        <v>27</v>
      </c>
    </row>
    <row r="26" spans="1:4">
      <c r="A26" s="935">
        <v>39814</v>
      </c>
      <c r="B26" s="138">
        <v>0.5</v>
      </c>
      <c r="C26" s="138">
        <v>18.600000000000001</v>
      </c>
      <c r="D26" s="138">
        <v>28.2</v>
      </c>
    </row>
    <row r="27" spans="1:4">
      <c r="A27" s="934">
        <v>40179</v>
      </c>
      <c r="B27" s="798">
        <v>0.5</v>
      </c>
      <c r="C27" s="798">
        <v>18.5</v>
      </c>
      <c r="D27" s="798">
        <v>28</v>
      </c>
    </row>
    <row r="28" spans="1:4">
      <c r="A28" s="935">
        <v>40544</v>
      </c>
      <c r="B28" s="138">
        <v>0.5</v>
      </c>
      <c r="C28" s="138">
        <v>18.7</v>
      </c>
      <c r="D28" s="138">
        <v>28.3</v>
      </c>
    </row>
    <row r="29" spans="1:4">
      <c r="A29" s="934">
        <v>40909</v>
      </c>
      <c r="B29" s="798">
        <v>0.5</v>
      </c>
      <c r="C29" s="798">
        <v>19.2</v>
      </c>
      <c r="D29" s="798">
        <v>29</v>
      </c>
    </row>
    <row r="30" spans="1:4">
      <c r="A30" s="935">
        <v>41275</v>
      </c>
      <c r="B30" s="138">
        <v>0.5</v>
      </c>
      <c r="C30" s="138">
        <v>19.399999999999999</v>
      </c>
      <c r="D30" s="138">
        <v>29.3</v>
      </c>
    </row>
    <row r="31" spans="1:4">
      <c r="A31" s="934">
        <v>42005</v>
      </c>
      <c r="B31" s="798">
        <v>0.5</v>
      </c>
      <c r="C31" s="798">
        <v>19.399999999999999</v>
      </c>
      <c r="D31" s="798">
        <v>29.4</v>
      </c>
    </row>
    <row r="32" spans="1:4">
      <c r="A32" s="935">
        <v>42370</v>
      </c>
      <c r="B32" s="138">
        <v>0.5</v>
      </c>
      <c r="C32" s="138">
        <v>19.3</v>
      </c>
      <c r="D32" s="138">
        <v>29.2</v>
      </c>
    </row>
    <row r="33" spans="1:4">
      <c r="A33" s="934">
        <v>42736</v>
      </c>
      <c r="B33" s="798">
        <v>0.5</v>
      </c>
      <c r="C33" s="798">
        <v>19.899999999999999</v>
      </c>
      <c r="D33" s="798">
        <v>29.5</v>
      </c>
    </row>
    <row r="34" spans="1:4">
      <c r="A34" s="999"/>
    </row>
    <row r="35" spans="1:4" s="707" customFormat="1">
      <c r="A35" s="730" t="s">
        <v>435</v>
      </c>
      <c r="B35" s="731"/>
      <c r="C35" s="731"/>
      <c r="D35" s="731"/>
    </row>
    <row r="36" spans="1:4" s="707" customFormat="1">
      <c r="A36" s="730" t="s">
        <v>482</v>
      </c>
      <c r="B36" s="731"/>
      <c r="C36" s="731"/>
      <c r="D36" s="731"/>
    </row>
    <row r="37" spans="1:4" ht="45" customHeight="1">
      <c r="A37" s="1063" t="s">
        <v>436</v>
      </c>
      <c r="B37" s="1063"/>
      <c r="C37" s="1063"/>
      <c r="D37" s="1063"/>
    </row>
  </sheetData>
  <mergeCells count="1">
    <mergeCell ref="A37:D3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theme="6" tint="0.39997558519241921"/>
  </sheetPr>
  <dimension ref="A1:F54"/>
  <sheetViews>
    <sheetView zoomScaleNormal="100" workbookViewId="0">
      <pane ySplit="6" topLeftCell="A7" activePane="bottomLeft" state="frozen"/>
      <selection pane="bottomLeft" activeCell="C1" sqref="C1"/>
    </sheetView>
  </sheetViews>
  <sheetFormatPr defaultColWidth="8.1328125" defaultRowHeight="13.15"/>
  <cols>
    <col min="1" max="1" width="8.59765625" style="141" customWidth="1"/>
    <col min="2" max="2" width="13" style="133" customWidth="1"/>
    <col min="3" max="3" width="15.73046875" style="133" customWidth="1"/>
    <col min="4" max="4" width="17.1328125" style="133" customWidth="1"/>
    <col min="5" max="5" width="13.1328125" style="133" customWidth="1"/>
    <col min="6" max="16384" width="8.1328125" style="133"/>
  </cols>
  <sheetData>
    <row r="1" spans="1:6" ht="15.95" customHeight="1">
      <c r="A1" s="524" t="str">
        <f>IF(språk=lista[[#Headers],[Svenska]],"Innehåll",IF(språk=lista[[#Headers],[English]],"Contents","FEL"))</f>
        <v>Contents</v>
      </c>
    </row>
    <row r="2" spans="1:6" ht="15.95" customHeight="1"/>
    <row r="3" spans="1:6" ht="15.95" customHeight="1">
      <c r="A3" s="425" t="str">
        <f>IFERROR(INDEX(lista[],MATCH($A5,lista[ID],0),MATCH(språk,lista[#Headers],0)),"")</f>
        <v>District heating consumption, from 1970, TWh</v>
      </c>
      <c r="B3" s="425"/>
      <c r="C3" s="425"/>
      <c r="D3" s="425"/>
      <c r="E3" s="425"/>
    </row>
    <row r="4" spans="1:6" s="274" customFormat="1" ht="15.95" customHeight="1">
      <c r="A4" s="398"/>
    </row>
    <row r="5" spans="1:6" s="274" customFormat="1" ht="15" hidden="1" customHeight="1">
      <c r="A5" s="273">
        <v>50</v>
      </c>
      <c r="B5" s="274" t="s">
        <v>647</v>
      </c>
      <c r="C5" s="274" t="s">
        <v>648</v>
      </c>
      <c r="D5" s="274" t="s">
        <v>649</v>
      </c>
    </row>
    <row r="6" spans="1:6" ht="26.25">
      <c r="A6" s="134"/>
      <c r="B6" s="135" t="str">
        <f>IFERROR(INDEX(_7.1[],MATCH(språk,_7.1[[id]:[id]],0),MATCH(B$5,_7.1[#Headers],0)),"")</f>
        <v>Industry</v>
      </c>
      <c r="C6" s="135" t="str">
        <f>IFERROR(INDEX(_7.1[],MATCH(språk,_7.1[[id]:[id]],0),MATCH(C$5,_7.1[#Headers],0)),"")</f>
        <v>Residential and services</v>
      </c>
      <c r="D6" s="135" t="str">
        <f>IFERROR(INDEX(_7.1[],MATCH(språk,_7.1[[id]:[id]],0),MATCH(D$5,_7.1[#Headers],0)),"")</f>
        <v>Distribution losses</v>
      </c>
      <c r="E6" s="235" t="str">
        <f>IF(språk=lista[[#Headers],[Svenska]],"Totalt",IF(språk=lista[[#Headers],[English]],"Total","FEL"))</f>
        <v>Total</v>
      </c>
    </row>
    <row r="7" spans="1:6" ht="15.95" customHeight="1">
      <c r="A7" s="802">
        <v>1970</v>
      </c>
      <c r="B7" s="803">
        <v>0</v>
      </c>
      <c r="C7" s="798">
        <v>12.1</v>
      </c>
      <c r="D7" s="798">
        <v>1.2990532995466884</v>
      </c>
      <c r="E7" s="804">
        <v>13.399053299546688</v>
      </c>
      <c r="F7" s="555"/>
    </row>
    <row r="8" spans="1:6" ht="15.95" customHeight="1">
      <c r="A8" s="136">
        <v>1971</v>
      </c>
      <c r="B8" s="137">
        <v>0</v>
      </c>
      <c r="C8" s="138">
        <v>12.8</v>
      </c>
      <c r="D8" s="138">
        <v>1.3742051433221167</v>
      </c>
      <c r="E8" s="139">
        <v>14.174205143322117</v>
      </c>
    </row>
    <row r="9" spans="1:6" ht="15.95" customHeight="1">
      <c r="A9" s="802">
        <v>1972</v>
      </c>
      <c r="B9" s="803">
        <v>0</v>
      </c>
      <c r="C9" s="798">
        <v>14</v>
      </c>
      <c r="D9" s="798">
        <v>1.5030368755085652</v>
      </c>
      <c r="E9" s="804">
        <v>15.503036875508565</v>
      </c>
    </row>
    <row r="10" spans="1:6" ht="15.95" customHeight="1">
      <c r="A10" s="136">
        <v>1973</v>
      </c>
      <c r="B10" s="137">
        <v>0.8</v>
      </c>
      <c r="C10" s="138">
        <v>15.1</v>
      </c>
      <c r="D10" s="138">
        <v>1.7070204514704419</v>
      </c>
      <c r="E10" s="139">
        <v>17.607020451470444</v>
      </c>
    </row>
    <row r="11" spans="1:6" ht="15.95" customHeight="1">
      <c r="A11" s="802">
        <v>1974</v>
      </c>
      <c r="B11" s="798">
        <v>1.1000000000000001</v>
      </c>
      <c r="C11" s="798">
        <v>14.6</v>
      </c>
      <c r="D11" s="798">
        <v>1.6855484961060336</v>
      </c>
      <c r="E11" s="804">
        <v>17.385548496106033</v>
      </c>
    </row>
    <row r="12" spans="1:6" ht="15.95" customHeight="1">
      <c r="A12" s="136">
        <v>1975</v>
      </c>
      <c r="B12" s="138">
        <v>1.3</v>
      </c>
      <c r="C12" s="138">
        <v>16.600000000000001</v>
      </c>
      <c r="D12" s="138">
        <v>1.9217400051145228</v>
      </c>
      <c r="E12" s="139">
        <v>19.821740005114524</v>
      </c>
    </row>
    <row r="13" spans="1:6" ht="15.95" customHeight="1">
      <c r="A13" s="802">
        <v>1976</v>
      </c>
      <c r="B13" s="798">
        <v>1.7</v>
      </c>
      <c r="C13" s="798">
        <v>20</v>
      </c>
      <c r="D13" s="798">
        <v>2.3297071570382761</v>
      </c>
      <c r="E13" s="804">
        <v>24.029707157038274</v>
      </c>
    </row>
    <row r="14" spans="1:6" ht="15.95" customHeight="1">
      <c r="A14" s="136">
        <v>1977</v>
      </c>
      <c r="B14" s="138">
        <v>1.9</v>
      </c>
      <c r="C14" s="138">
        <v>21.3</v>
      </c>
      <c r="D14" s="138">
        <v>2.4907468222713365</v>
      </c>
      <c r="E14" s="139">
        <v>25.690746822271336</v>
      </c>
    </row>
    <row r="15" spans="1:6" ht="15.95" customHeight="1">
      <c r="A15" s="802">
        <v>1978</v>
      </c>
      <c r="B15" s="798">
        <v>2.2000000000000002</v>
      </c>
      <c r="C15" s="798">
        <v>22.9</v>
      </c>
      <c r="D15" s="798">
        <v>2.6947303982332129</v>
      </c>
      <c r="E15" s="804">
        <v>27.794730398233209</v>
      </c>
    </row>
    <row r="16" spans="1:6" ht="15.95" customHeight="1">
      <c r="A16" s="136">
        <v>1979</v>
      </c>
      <c r="B16" s="138">
        <v>2.2999999999999998</v>
      </c>
      <c r="C16" s="138">
        <v>24.1</v>
      </c>
      <c r="D16" s="138">
        <v>2.8342981081018661</v>
      </c>
      <c r="E16" s="139">
        <v>29.234298108101868</v>
      </c>
    </row>
    <row r="17" spans="1:5" ht="15.95" customHeight="1">
      <c r="A17" s="802">
        <v>1980</v>
      </c>
      <c r="B17" s="798">
        <v>3.1</v>
      </c>
      <c r="C17" s="798">
        <v>24.7</v>
      </c>
      <c r="D17" s="798">
        <v>2.9846017956527224</v>
      </c>
      <c r="E17" s="804">
        <v>30.784601795652723</v>
      </c>
    </row>
    <row r="18" spans="1:5" ht="15.95" customHeight="1">
      <c r="A18" s="136">
        <v>1981</v>
      </c>
      <c r="B18" s="138">
        <v>3</v>
      </c>
      <c r="C18" s="138">
        <v>25.4</v>
      </c>
      <c r="D18" s="138">
        <v>3.0490176617459466</v>
      </c>
      <c r="E18" s="139">
        <v>31.449017661745945</v>
      </c>
    </row>
    <row r="19" spans="1:5" ht="15.95" customHeight="1">
      <c r="A19" s="802">
        <v>1982</v>
      </c>
      <c r="B19" s="798">
        <v>2.7</v>
      </c>
      <c r="C19" s="798">
        <v>25.6</v>
      </c>
      <c r="D19" s="798">
        <v>3.0382816840637425</v>
      </c>
      <c r="E19" s="804">
        <v>31.338281684063745</v>
      </c>
    </row>
    <row r="20" spans="1:5" ht="15.95" customHeight="1">
      <c r="A20" s="136">
        <v>1983</v>
      </c>
      <c r="B20" s="138">
        <v>2.5</v>
      </c>
      <c r="C20" s="138">
        <v>26.1</v>
      </c>
      <c r="D20" s="138">
        <v>3.0080555555555555</v>
      </c>
      <c r="E20" s="139">
        <v>31.608055555555556</v>
      </c>
    </row>
    <row r="21" spans="1:5" ht="15.95" customHeight="1">
      <c r="A21" s="802">
        <v>1984</v>
      </c>
      <c r="B21" s="798">
        <v>2.6</v>
      </c>
      <c r="C21" s="798">
        <v>27.3</v>
      </c>
      <c r="D21" s="798">
        <v>3.0661111111111108</v>
      </c>
      <c r="E21" s="804">
        <v>32.966111111111111</v>
      </c>
    </row>
    <row r="22" spans="1:5" ht="15.95" customHeight="1">
      <c r="A22" s="136">
        <v>1985</v>
      </c>
      <c r="B22" s="138">
        <v>3.4</v>
      </c>
      <c r="C22" s="138">
        <v>33.9</v>
      </c>
      <c r="D22" s="138">
        <v>3.67</v>
      </c>
      <c r="E22" s="139">
        <v>40.97</v>
      </c>
    </row>
    <row r="23" spans="1:5" ht="15.95" customHeight="1">
      <c r="A23" s="802">
        <v>1986</v>
      </c>
      <c r="B23" s="798">
        <v>3.6</v>
      </c>
      <c r="C23" s="798">
        <v>33</v>
      </c>
      <c r="D23" s="798">
        <v>3.2838888888888889</v>
      </c>
      <c r="E23" s="804">
        <v>39.88388888888889</v>
      </c>
    </row>
    <row r="24" spans="1:5" ht="15.95" customHeight="1">
      <c r="A24" s="136">
        <v>1987</v>
      </c>
      <c r="B24" s="138">
        <v>4</v>
      </c>
      <c r="C24" s="138">
        <v>35.299999999999997</v>
      </c>
      <c r="D24" s="138">
        <v>4.0350000000000001</v>
      </c>
      <c r="E24" s="139">
        <v>43.334999999999994</v>
      </c>
    </row>
    <row r="25" spans="1:5" ht="15.95" customHeight="1">
      <c r="A25" s="802">
        <v>1988</v>
      </c>
      <c r="B25" s="798">
        <v>3.9670000000000001</v>
      </c>
      <c r="C25" s="798">
        <v>32.18</v>
      </c>
      <c r="D25" s="798">
        <v>3.9019444444444442</v>
      </c>
      <c r="E25" s="804">
        <v>40.048944444444444</v>
      </c>
    </row>
    <row r="26" spans="1:5" ht="15.95" customHeight="1">
      <c r="A26" s="136">
        <v>1989</v>
      </c>
      <c r="B26" s="138">
        <v>3.34</v>
      </c>
      <c r="C26" s="138">
        <v>29.911944444444444</v>
      </c>
      <c r="D26" s="138">
        <v>3.9911111111111111</v>
      </c>
      <c r="E26" s="139">
        <v>37.243055555555557</v>
      </c>
    </row>
    <row r="27" spans="1:5" ht="15.95" customHeight="1">
      <c r="A27" s="802">
        <v>1990</v>
      </c>
      <c r="B27" s="798">
        <v>3.5950000000000002</v>
      </c>
      <c r="C27" s="798">
        <v>30.693055555555556</v>
      </c>
      <c r="D27" s="798">
        <v>3.750833333333333</v>
      </c>
      <c r="E27" s="804">
        <v>38.038888888888891</v>
      </c>
    </row>
    <row r="28" spans="1:5" ht="15.95" customHeight="1">
      <c r="A28" s="136">
        <v>1991</v>
      </c>
      <c r="B28" s="138">
        <v>3.5870000000000002</v>
      </c>
      <c r="C28" s="138">
        <v>34.308055555555555</v>
      </c>
      <c r="D28" s="138">
        <v>3.8238888888888889</v>
      </c>
      <c r="E28" s="139">
        <v>41.718944444444446</v>
      </c>
    </row>
    <row r="29" spans="1:5" ht="15.95" customHeight="1">
      <c r="A29" s="802">
        <v>1992</v>
      </c>
      <c r="B29" s="798">
        <v>3.3860000000000001</v>
      </c>
      <c r="C29" s="798">
        <v>34.116944444444442</v>
      </c>
      <c r="D29" s="798">
        <v>3.6388888888888888</v>
      </c>
      <c r="E29" s="804">
        <v>41.141833333333331</v>
      </c>
    </row>
    <row r="30" spans="1:5" ht="15.95" customHeight="1">
      <c r="A30" s="136">
        <v>1993</v>
      </c>
      <c r="B30" s="138">
        <v>3.7949999999999999</v>
      </c>
      <c r="C30" s="138">
        <v>36.361111111111107</v>
      </c>
      <c r="D30" s="138">
        <v>3.5138888888888888</v>
      </c>
      <c r="E30" s="139">
        <v>43.669999999999995</v>
      </c>
    </row>
    <row r="31" spans="1:5" ht="15.95" customHeight="1">
      <c r="A31" s="802">
        <v>1994</v>
      </c>
      <c r="B31" s="798">
        <v>3.8580000000000001</v>
      </c>
      <c r="C31" s="798">
        <v>36.614166666666662</v>
      </c>
      <c r="D31" s="798">
        <v>3.2680555555555557</v>
      </c>
      <c r="E31" s="804">
        <v>43.740222222222215</v>
      </c>
    </row>
    <row r="32" spans="1:5" ht="15.95" customHeight="1">
      <c r="A32" s="136">
        <v>1995</v>
      </c>
      <c r="B32" s="138">
        <v>4.0469999999999997</v>
      </c>
      <c r="C32" s="138">
        <v>37.123888888888892</v>
      </c>
      <c r="D32" s="138">
        <v>3.8011111111111107</v>
      </c>
      <c r="E32" s="139">
        <v>44.972000000000001</v>
      </c>
    </row>
    <row r="33" spans="1:5" ht="15.95" customHeight="1">
      <c r="A33" s="802">
        <v>1996</v>
      </c>
      <c r="B33" s="798">
        <v>4.3659999999999997</v>
      </c>
      <c r="C33" s="798">
        <v>41.046944444444442</v>
      </c>
      <c r="D33" s="798">
        <v>3.7949999999999999</v>
      </c>
      <c r="E33" s="804">
        <v>49.207944444444443</v>
      </c>
    </row>
    <row r="34" spans="1:5" ht="15.95" customHeight="1">
      <c r="A34" s="136">
        <v>1997</v>
      </c>
      <c r="B34" s="138">
        <v>4.2720000000000002</v>
      </c>
      <c r="C34" s="138">
        <v>37.603888888888889</v>
      </c>
      <c r="D34" s="138">
        <v>3.2430555555555558</v>
      </c>
      <c r="E34" s="139">
        <v>45.118944444444445</v>
      </c>
    </row>
    <row r="35" spans="1:5" ht="15.95" customHeight="1">
      <c r="A35" s="802">
        <v>1998</v>
      </c>
      <c r="B35" s="798">
        <v>4.1950000000000003</v>
      </c>
      <c r="C35" s="798">
        <v>38.966944444444437</v>
      </c>
      <c r="D35" s="798">
        <v>4.2949999999999999</v>
      </c>
      <c r="E35" s="804">
        <v>47.456944444444439</v>
      </c>
    </row>
    <row r="36" spans="1:5" ht="15.95" customHeight="1">
      <c r="A36" s="136">
        <v>1999</v>
      </c>
      <c r="B36" s="138">
        <v>4.1399999999999997</v>
      </c>
      <c r="C36" s="138">
        <v>39.291944444444447</v>
      </c>
      <c r="D36" s="138">
        <v>4.3250000000000002</v>
      </c>
      <c r="E36" s="139">
        <v>47.75694444444445</v>
      </c>
    </row>
    <row r="37" spans="1:5" ht="15.95" customHeight="1">
      <c r="A37" s="802">
        <v>2000</v>
      </c>
      <c r="B37" s="798">
        <v>4.0030000000000001</v>
      </c>
      <c r="C37" s="798">
        <v>37.347777777777772</v>
      </c>
      <c r="D37" s="798">
        <v>4.1288888888888886</v>
      </c>
      <c r="E37" s="804">
        <v>45.47966666666666</v>
      </c>
    </row>
    <row r="38" spans="1:5" ht="15.95" customHeight="1">
      <c r="A38" s="136">
        <v>2001</v>
      </c>
      <c r="B38" s="138">
        <v>4.476</v>
      </c>
      <c r="C38" s="138">
        <v>40.599166666666669</v>
      </c>
      <c r="D38" s="138">
        <v>5.5261111111111116</v>
      </c>
      <c r="E38" s="139">
        <v>50.601277777777781</v>
      </c>
    </row>
    <row r="39" spans="1:5" ht="15.95" customHeight="1">
      <c r="A39" s="802">
        <v>2002</v>
      </c>
      <c r="B39" s="798">
        <v>4.5529999999999999</v>
      </c>
      <c r="C39" s="798">
        <v>41.096944444444446</v>
      </c>
      <c r="D39" s="798">
        <v>5.1863888888888887</v>
      </c>
      <c r="E39" s="804">
        <v>50.836333333333329</v>
      </c>
    </row>
    <row r="40" spans="1:5" ht="15.95" customHeight="1">
      <c r="A40" s="136">
        <v>2003</v>
      </c>
      <c r="B40" s="138">
        <v>4.4160000000000004</v>
      </c>
      <c r="C40" s="138">
        <v>42.106944444444444</v>
      </c>
      <c r="D40" s="138">
        <v>4.947222222222222</v>
      </c>
      <c r="E40" s="139">
        <v>51.470166666666671</v>
      </c>
    </row>
    <row r="41" spans="1:5" ht="15.95" customHeight="1">
      <c r="A41" s="802">
        <v>2004</v>
      </c>
      <c r="B41" s="798">
        <v>4.7149999999999999</v>
      </c>
      <c r="C41" s="798">
        <v>42.006944444444436</v>
      </c>
      <c r="D41" s="798">
        <v>5.7561111111111112</v>
      </c>
      <c r="E41" s="804">
        <v>52.478055555555542</v>
      </c>
    </row>
    <row r="42" spans="1:5" ht="15.95" customHeight="1">
      <c r="A42" s="136">
        <v>2005</v>
      </c>
      <c r="B42" s="138">
        <v>4.3963888888888887</v>
      </c>
      <c r="C42" s="138">
        <v>42.610833333333332</v>
      </c>
      <c r="D42" s="138">
        <v>4.3372222222222216</v>
      </c>
      <c r="E42" s="139">
        <v>51.344444444444441</v>
      </c>
    </row>
    <row r="43" spans="1:5" ht="15.95" customHeight="1">
      <c r="A43" s="802">
        <v>2006</v>
      </c>
      <c r="B43" s="798">
        <v>4.3966666666666674</v>
      </c>
      <c r="C43" s="798">
        <v>42.039166666666674</v>
      </c>
      <c r="D43" s="798">
        <v>4.7347222222222216</v>
      </c>
      <c r="E43" s="804">
        <v>51.170555555555566</v>
      </c>
    </row>
    <row r="44" spans="1:5" ht="15.95" customHeight="1">
      <c r="A44" s="136">
        <v>2007</v>
      </c>
      <c r="B44" s="138">
        <v>4.3761111111111113</v>
      </c>
      <c r="C44" s="138">
        <v>42.432222222222222</v>
      </c>
      <c r="D44" s="138">
        <v>5.0991666666666671</v>
      </c>
      <c r="E44" s="139">
        <v>51.907500000000006</v>
      </c>
    </row>
    <row r="45" spans="1:5" ht="15.95" customHeight="1">
      <c r="A45" s="802">
        <v>2008</v>
      </c>
      <c r="B45" s="798">
        <v>4.2233333333333327</v>
      </c>
      <c r="C45" s="798">
        <v>42.588888888888889</v>
      </c>
      <c r="D45" s="798">
        <v>5.4338888888888883</v>
      </c>
      <c r="E45" s="804">
        <v>52.246111111111105</v>
      </c>
    </row>
    <row r="46" spans="1:5" ht="15.95" customHeight="1">
      <c r="A46" s="136">
        <v>2009</v>
      </c>
      <c r="B46" s="138">
        <v>4.4994444444444444</v>
      </c>
      <c r="C46" s="138">
        <v>43.601666666666674</v>
      </c>
      <c r="D46" s="138">
        <v>6.040277777777777</v>
      </c>
      <c r="E46" s="139">
        <v>54.141388888888891</v>
      </c>
    </row>
    <row r="47" spans="1:5" ht="15.95" customHeight="1">
      <c r="A47" s="802">
        <v>2010</v>
      </c>
      <c r="B47" s="798">
        <v>4.527222222222222</v>
      </c>
      <c r="C47" s="798">
        <v>49.314722222222215</v>
      </c>
      <c r="D47" s="798">
        <v>6.8369444444444447</v>
      </c>
      <c r="E47" s="804">
        <v>60.678888888888878</v>
      </c>
    </row>
    <row r="48" spans="1:5" ht="15.95" customHeight="1">
      <c r="A48" s="220">
        <v>2011</v>
      </c>
      <c r="B48" s="219">
        <v>4.1194444444444445</v>
      </c>
      <c r="C48" s="219">
        <v>42.858888888888892</v>
      </c>
      <c r="D48" s="219">
        <v>6.3097222222222218</v>
      </c>
      <c r="E48" s="251">
        <v>53.288055555555559</v>
      </c>
    </row>
    <row r="49" spans="1:5" ht="15.95" customHeight="1">
      <c r="A49" s="802">
        <v>2012</v>
      </c>
      <c r="B49" s="798">
        <v>4.2686111111111114</v>
      </c>
      <c r="C49" s="798">
        <v>45.67</v>
      </c>
      <c r="D49" s="798">
        <v>7.5052777777777777</v>
      </c>
      <c r="E49" s="804">
        <v>57.443888888888893</v>
      </c>
    </row>
    <row r="50" spans="1:5" ht="15.95" customHeight="1">
      <c r="A50" s="220">
        <v>2013</v>
      </c>
      <c r="B50" s="219">
        <v>4.1830555555555557</v>
      </c>
      <c r="C50" s="219">
        <v>46.793611111111112</v>
      </c>
      <c r="D50" s="219">
        <v>6.2480555555555553</v>
      </c>
      <c r="E50" s="251">
        <v>57.224722222222219</v>
      </c>
    </row>
    <row r="51" spans="1:5" ht="15.95" customHeight="1">
      <c r="A51" s="802">
        <v>2014</v>
      </c>
      <c r="B51" s="798">
        <v>4.0438888888888886</v>
      </c>
      <c r="C51" s="798">
        <v>44.534166666666671</v>
      </c>
      <c r="D51" s="798">
        <v>6.5516666666666659</v>
      </c>
      <c r="E51" s="804">
        <v>55.129722222222227</v>
      </c>
    </row>
    <row r="52" spans="1:5" ht="15.95" customHeight="1">
      <c r="A52" s="220">
        <v>2015</v>
      </c>
      <c r="B52" s="219">
        <v>3.846111111111111</v>
      </c>
      <c r="C52" s="219">
        <v>44.749722222222218</v>
      </c>
      <c r="D52" s="219">
        <v>6.838055555555556</v>
      </c>
      <c r="E52" s="251">
        <v>55.433888888888887</v>
      </c>
    </row>
    <row r="53" spans="1:5" ht="15.95" customHeight="1"/>
    <row r="54" spans="1:5">
      <c r="A54" s="140"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theme="6" tint="0.39997558519241921"/>
  </sheetPr>
  <dimension ref="A1:M56"/>
  <sheetViews>
    <sheetView zoomScaleNormal="100" workbookViewId="0">
      <pane ySplit="6" topLeftCell="A7" activePane="bottomLeft" state="frozen"/>
      <selection pane="bottomLeft" activeCell="C1" sqref="C1"/>
    </sheetView>
  </sheetViews>
  <sheetFormatPr defaultColWidth="8.1328125" defaultRowHeight="13.15"/>
  <cols>
    <col min="1" max="1" width="8.86328125" style="141" customWidth="1"/>
    <col min="2" max="2" width="10.73046875" style="133" customWidth="1"/>
    <col min="3" max="3" width="13.73046875" style="133" customWidth="1"/>
    <col min="4" max="4" width="9.1328125" style="133" customWidth="1"/>
    <col min="5" max="5" width="8.1328125" style="133" bestFit="1" customWidth="1"/>
    <col min="6" max="6" width="8.59765625" style="133" customWidth="1"/>
    <col min="7" max="7" width="8.1328125" style="133" customWidth="1"/>
    <col min="8" max="8" width="12.1328125" style="133" bestFit="1" customWidth="1"/>
    <col min="9" max="9" width="9.3984375" style="133" bestFit="1" customWidth="1"/>
    <col min="10" max="10" width="8.73046875" style="133" customWidth="1"/>
    <col min="11" max="11" width="11.265625" style="133" customWidth="1"/>
    <col min="12" max="13" width="10.3984375" style="133" bestFit="1" customWidth="1"/>
    <col min="14" max="16384" width="8.1328125" style="133"/>
  </cols>
  <sheetData>
    <row r="1" spans="1:11" ht="15.95" customHeight="1">
      <c r="A1" s="524" t="str">
        <f>IF(språk=lista[[#Headers],[Svenska]],"Innehåll",IF(språk=lista[[#Headers],[English]],"Contents","FEL"))</f>
        <v>Contents</v>
      </c>
    </row>
    <row r="2" spans="1:11" ht="15.95" customHeight="1"/>
    <row r="3" spans="1:11" ht="15.95" customHeight="1">
      <c r="A3" s="425" t="str">
        <f>IFERROR(INDEX(lista[],MATCH($A5,lista[ID],0),MATCH(språk,lista[#Headers],0)),"")</f>
        <v>Input energy used in the production of district heating, from 1970, TWh</v>
      </c>
      <c r="B3" s="425"/>
      <c r="C3" s="425"/>
      <c r="D3" s="425"/>
      <c r="E3" s="425"/>
      <c r="F3" s="425"/>
      <c r="G3" s="425"/>
      <c r="H3" s="425"/>
      <c r="I3" s="425"/>
      <c r="J3" s="425"/>
      <c r="K3" s="535"/>
    </row>
    <row r="4" spans="1:11" s="274" customFormat="1" ht="15.95" customHeight="1">
      <c r="A4" s="398"/>
    </row>
    <row r="5" spans="1:11" s="274" customFormat="1" ht="15.95" hidden="1" customHeight="1">
      <c r="A5" s="398">
        <v>51</v>
      </c>
      <c r="B5" s="274" t="s">
        <v>647</v>
      </c>
      <c r="C5" s="274" t="s">
        <v>648</v>
      </c>
      <c r="D5" s="274" t="s">
        <v>649</v>
      </c>
      <c r="E5" s="274" t="s">
        <v>650</v>
      </c>
      <c r="F5" s="274" t="s">
        <v>651</v>
      </c>
      <c r="G5" s="274" t="s">
        <v>652</v>
      </c>
      <c r="H5" s="274" t="s">
        <v>653</v>
      </c>
      <c r="I5" s="274" t="s">
        <v>654</v>
      </c>
    </row>
    <row r="6" spans="1:11" ht="39" customHeight="1">
      <c r="A6" s="142"/>
      <c r="B6" s="143" t="str">
        <f>IFERROR(INDEX(_7.2[],MATCH(språk,_7.2[[id]:[id]],0),MATCH(B$5,_7.2[#Headers],0)),"")</f>
        <v>Biomass</v>
      </c>
      <c r="C6" s="143" t="str">
        <f>IFERROR(INDEX(_7.2[],MATCH(språk,_7.2[[id]:[id]],0),MATCH(C$5,_7.2[#Headers],0)),"")</f>
        <v>Coal incl. coke oven and blast furnace gases</v>
      </c>
      <c r="D6" s="143" t="str">
        <f>IFERROR(INDEX(_7.2[],MATCH(språk,_7.2[[id]:[id]],0),MATCH(D$5,_7.2[#Headers],0)),"")</f>
        <v>Petroleum products</v>
      </c>
      <c r="E6" s="143" t="str">
        <f>IFERROR(INDEX(_7.2[],MATCH(språk,_7.2[[id]:[id]],0),MATCH(E$5,_7.2[#Headers],0)),"")</f>
        <v>Natural gas</v>
      </c>
      <c r="F6" s="143" t="str">
        <f>IFERROR(INDEX(_7.2[],MATCH(språk,_7.2[[id]:[id]],0),MATCH(F$5,_7.2[#Headers],0)),"")</f>
        <v>Other fuels</v>
      </c>
      <c r="G6" s="143" t="str">
        <f>IFERROR(INDEX(_7.2[],MATCH(språk,_7.2[[id]:[id]],0),MATCH(G$5,_7.2[#Headers],0)),"")</f>
        <v>Electric boilers</v>
      </c>
      <c r="H6" s="143" t="str">
        <f>IFERROR(INDEX(_7.2[],MATCH(språk,_7.2[[id]:[id]],0),MATCH(H$5,_7.2[#Headers],0)),"")</f>
        <v>Heat pumps</v>
      </c>
      <c r="I6" s="143" t="str">
        <f>IFERROR(INDEX(_7.2[],MATCH(språk,_7.2[[id]:[id]],0),MATCH(I$5,_7.2[#Headers],0)),"")</f>
        <v>Waste heat</v>
      </c>
      <c r="J6" s="235" t="str">
        <f>IF(språk=lista[[#Headers],[Svenska]],"Totalt",IF(språk=lista[[#Headers],[English]],"Total","FEL"))</f>
        <v>Total</v>
      </c>
    </row>
    <row r="7" spans="1:11" ht="15.95" customHeight="1">
      <c r="A7" s="802">
        <v>1970</v>
      </c>
      <c r="B7" s="803">
        <v>0.3</v>
      </c>
      <c r="C7" s="803">
        <v>0</v>
      </c>
      <c r="D7" s="798">
        <v>14.3</v>
      </c>
      <c r="E7" s="803"/>
      <c r="F7" s="803"/>
      <c r="G7" s="803">
        <v>0</v>
      </c>
      <c r="H7" s="803">
        <v>0</v>
      </c>
      <c r="I7" s="803">
        <v>0</v>
      </c>
      <c r="J7" s="805">
        <v>14.600000000000001</v>
      </c>
    </row>
    <row r="8" spans="1:11" ht="15.95" customHeight="1">
      <c r="A8" s="144">
        <v>1971</v>
      </c>
      <c r="B8" s="146">
        <v>0.3</v>
      </c>
      <c r="C8" s="146">
        <v>0</v>
      </c>
      <c r="D8" s="145">
        <v>15.5</v>
      </c>
      <c r="E8" s="146"/>
      <c r="F8" s="146"/>
      <c r="G8" s="146">
        <v>0</v>
      </c>
      <c r="H8" s="146">
        <v>0</v>
      </c>
      <c r="I8" s="146">
        <v>0</v>
      </c>
      <c r="J8" s="147">
        <v>15.8</v>
      </c>
    </row>
    <row r="9" spans="1:11" ht="15.95" customHeight="1">
      <c r="A9" s="802">
        <v>1972</v>
      </c>
      <c r="B9" s="803">
        <v>0.3</v>
      </c>
      <c r="C9" s="803">
        <v>0</v>
      </c>
      <c r="D9" s="798">
        <v>17</v>
      </c>
      <c r="E9" s="803"/>
      <c r="F9" s="803"/>
      <c r="G9" s="803">
        <v>0.1</v>
      </c>
      <c r="H9" s="803">
        <v>0</v>
      </c>
      <c r="I9" s="803">
        <v>0</v>
      </c>
      <c r="J9" s="805">
        <v>17.400000000000002</v>
      </c>
    </row>
    <row r="10" spans="1:11" ht="15.95" customHeight="1">
      <c r="A10" s="144">
        <v>1973</v>
      </c>
      <c r="B10" s="146">
        <v>0.8</v>
      </c>
      <c r="C10" s="146">
        <v>0.4</v>
      </c>
      <c r="D10" s="145">
        <v>18.5</v>
      </c>
      <c r="E10" s="146"/>
      <c r="F10" s="146"/>
      <c r="G10" s="146">
        <v>0.1</v>
      </c>
      <c r="H10" s="146">
        <v>0</v>
      </c>
      <c r="I10" s="146">
        <v>0</v>
      </c>
      <c r="J10" s="147">
        <v>19.8</v>
      </c>
    </row>
    <row r="11" spans="1:11" ht="15.95" customHeight="1">
      <c r="A11" s="802">
        <v>1974</v>
      </c>
      <c r="B11" s="803">
        <v>0.9</v>
      </c>
      <c r="C11" s="803">
        <v>0.4</v>
      </c>
      <c r="D11" s="798">
        <v>18.600000000000001</v>
      </c>
      <c r="E11" s="803"/>
      <c r="F11" s="803"/>
      <c r="G11" s="803">
        <v>0</v>
      </c>
      <c r="H11" s="803">
        <v>0</v>
      </c>
      <c r="I11" s="803">
        <v>0</v>
      </c>
      <c r="J11" s="805">
        <v>19.900000000000002</v>
      </c>
    </row>
    <row r="12" spans="1:11" ht="15.95" customHeight="1">
      <c r="A12" s="144">
        <v>1975</v>
      </c>
      <c r="B12" s="146">
        <v>1</v>
      </c>
      <c r="C12" s="146">
        <v>0.2</v>
      </c>
      <c r="D12" s="145">
        <v>20.8</v>
      </c>
      <c r="E12" s="146"/>
      <c r="F12" s="146"/>
      <c r="G12" s="146">
        <v>0.1</v>
      </c>
      <c r="H12" s="146">
        <v>0</v>
      </c>
      <c r="I12" s="146">
        <v>0.1</v>
      </c>
      <c r="J12" s="147">
        <v>22.200000000000003</v>
      </c>
    </row>
    <row r="13" spans="1:11" ht="15.95" customHeight="1">
      <c r="A13" s="802">
        <v>1976</v>
      </c>
      <c r="B13" s="803">
        <v>1.3</v>
      </c>
      <c r="C13" s="803">
        <v>0</v>
      </c>
      <c r="D13" s="798">
        <v>25.8</v>
      </c>
      <c r="E13" s="803"/>
      <c r="F13" s="803"/>
      <c r="G13" s="803">
        <v>0.1</v>
      </c>
      <c r="H13" s="803">
        <v>0</v>
      </c>
      <c r="I13" s="803">
        <v>0.1</v>
      </c>
      <c r="J13" s="805">
        <v>27.300000000000004</v>
      </c>
    </row>
    <row r="14" spans="1:11" ht="15.95" customHeight="1">
      <c r="A14" s="144">
        <v>1977</v>
      </c>
      <c r="B14" s="146">
        <v>1.4</v>
      </c>
      <c r="C14" s="146">
        <v>0.1</v>
      </c>
      <c r="D14" s="145">
        <v>26.9</v>
      </c>
      <c r="E14" s="146"/>
      <c r="F14" s="146"/>
      <c r="G14" s="146">
        <v>0.1</v>
      </c>
      <c r="H14" s="146">
        <v>0</v>
      </c>
      <c r="I14" s="146">
        <v>0.2</v>
      </c>
      <c r="J14" s="147">
        <v>28.7</v>
      </c>
    </row>
    <row r="15" spans="1:11" ht="15.95" customHeight="1">
      <c r="A15" s="802">
        <v>1978</v>
      </c>
      <c r="B15" s="803">
        <v>1.6</v>
      </c>
      <c r="C15" s="803">
        <v>0.4</v>
      </c>
      <c r="D15" s="798">
        <v>28.7</v>
      </c>
      <c r="E15" s="803"/>
      <c r="F15" s="803"/>
      <c r="G15" s="803">
        <v>0</v>
      </c>
      <c r="H15" s="803">
        <v>0</v>
      </c>
      <c r="I15" s="803">
        <v>0.3</v>
      </c>
      <c r="J15" s="804">
        <v>31</v>
      </c>
    </row>
    <row r="16" spans="1:11" ht="15.95" customHeight="1">
      <c r="A16" s="144">
        <v>1979</v>
      </c>
      <c r="B16" s="146">
        <v>1.8</v>
      </c>
      <c r="C16" s="146">
        <v>0.5</v>
      </c>
      <c r="D16" s="145">
        <v>29.9</v>
      </c>
      <c r="E16" s="146"/>
      <c r="F16" s="146"/>
      <c r="G16" s="146">
        <v>0.1</v>
      </c>
      <c r="H16" s="146">
        <v>0</v>
      </c>
      <c r="I16" s="146">
        <v>0.3</v>
      </c>
      <c r="J16" s="147">
        <v>32.599999999999994</v>
      </c>
    </row>
    <row r="17" spans="1:10" ht="15.95" customHeight="1">
      <c r="A17" s="802">
        <v>1980</v>
      </c>
      <c r="B17" s="803">
        <v>2.2999999999999998</v>
      </c>
      <c r="C17" s="803">
        <v>0.4</v>
      </c>
      <c r="D17" s="798">
        <v>30.9</v>
      </c>
      <c r="E17" s="803"/>
      <c r="F17" s="803"/>
      <c r="G17" s="803">
        <v>0.1</v>
      </c>
      <c r="H17" s="803">
        <v>0</v>
      </c>
      <c r="I17" s="803">
        <v>0.6</v>
      </c>
      <c r="J17" s="805">
        <v>34.300000000000004</v>
      </c>
    </row>
    <row r="18" spans="1:10" ht="15.95" customHeight="1">
      <c r="A18" s="144">
        <v>1981</v>
      </c>
      <c r="B18" s="146">
        <v>2.7</v>
      </c>
      <c r="C18" s="146">
        <v>1.2</v>
      </c>
      <c r="D18" s="145">
        <v>29.5</v>
      </c>
      <c r="E18" s="146"/>
      <c r="F18" s="146"/>
      <c r="G18" s="146">
        <v>0.8</v>
      </c>
      <c r="H18" s="146">
        <v>0</v>
      </c>
      <c r="I18" s="146">
        <v>1.4</v>
      </c>
      <c r="J18" s="148">
        <v>35.599999999999994</v>
      </c>
    </row>
    <row r="19" spans="1:10" ht="15.95" customHeight="1">
      <c r="A19" s="802">
        <v>1982</v>
      </c>
      <c r="B19" s="803">
        <v>3.4</v>
      </c>
      <c r="C19" s="803">
        <v>2.4</v>
      </c>
      <c r="D19" s="798">
        <v>26.8</v>
      </c>
      <c r="E19" s="803"/>
      <c r="F19" s="803"/>
      <c r="G19" s="803">
        <v>1.6</v>
      </c>
      <c r="H19" s="803">
        <v>0.2</v>
      </c>
      <c r="I19" s="803">
        <v>1.3</v>
      </c>
      <c r="J19" s="805">
        <v>35.700000000000003</v>
      </c>
    </row>
    <row r="20" spans="1:10" ht="15.95" customHeight="1">
      <c r="A20" s="144">
        <v>1983</v>
      </c>
      <c r="B20" s="145">
        <v>2.5437222222222222</v>
      </c>
      <c r="C20" s="145">
        <v>6.1672222222222217</v>
      </c>
      <c r="D20" s="145">
        <v>18.657499999999999</v>
      </c>
      <c r="E20" s="145">
        <v>9.1666666666666667E-3</v>
      </c>
      <c r="F20" s="145">
        <v>1.3173888888888887</v>
      </c>
      <c r="G20" s="145">
        <v>4.3238888888888889</v>
      </c>
      <c r="H20" s="145">
        <v>0.71305555555555555</v>
      </c>
      <c r="I20" s="145">
        <v>1.46</v>
      </c>
      <c r="J20" s="148">
        <v>35.191944444444445</v>
      </c>
    </row>
    <row r="21" spans="1:10" ht="15.95" customHeight="1">
      <c r="A21" s="802">
        <v>1984</v>
      </c>
      <c r="B21" s="798">
        <v>2.9961666666666673</v>
      </c>
      <c r="C21" s="798">
        <v>9.0022222222222226</v>
      </c>
      <c r="D21" s="798">
        <v>13.592499999999999</v>
      </c>
      <c r="E21" s="798">
        <v>9.4444444444444445E-3</v>
      </c>
      <c r="F21" s="798">
        <v>2.0510555555555543</v>
      </c>
      <c r="G21" s="798">
        <v>5.3219444444444441</v>
      </c>
      <c r="H21" s="798">
        <v>1.9180555555555554</v>
      </c>
      <c r="I21" s="798">
        <v>1.9705555555555554</v>
      </c>
      <c r="J21" s="804">
        <v>36.86194444444444</v>
      </c>
    </row>
    <row r="22" spans="1:10" ht="15.95" customHeight="1">
      <c r="A22" s="144">
        <v>1985</v>
      </c>
      <c r="B22" s="145">
        <v>4.1627777777777775</v>
      </c>
      <c r="C22" s="145">
        <v>11.808611111111111</v>
      </c>
      <c r="D22" s="145">
        <v>17.833611111111111</v>
      </c>
      <c r="E22" s="145">
        <v>4.6388888888888882E-2</v>
      </c>
      <c r="F22" s="145">
        <v>2.4197222222222226</v>
      </c>
      <c r="G22" s="145">
        <v>3.7650000000000001</v>
      </c>
      <c r="H22" s="145">
        <v>3.2111111111111108</v>
      </c>
      <c r="I22" s="145">
        <v>2.3330555555555557</v>
      </c>
      <c r="J22" s="148">
        <v>45.580277777777773</v>
      </c>
    </row>
    <row r="23" spans="1:10" ht="15.95" customHeight="1">
      <c r="A23" s="802">
        <v>1986</v>
      </c>
      <c r="B23" s="798">
        <v>4.8851111111111116</v>
      </c>
      <c r="C23" s="798">
        <v>12.913888888888888</v>
      </c>
      <c r="D23" s="798">
        <v>13.887777777777778</v>
      </c>
      <c r="E23" s="798">
        <v>0.28555555555555556</v>
      </c>
      <c r="F23" s="798">
        <v>3.5812777777777773</v>
      </c>
      <c r="G23" s="798">
        <v>1.8608333333333333</v>
      </c>
      <c r="H23" s="798">
        <v>5.2819444444444441</v>
      </c>
      <c r="I23" s="798">
        <v>2.3569444444444443</v>
      </c>
      <c r="J23" s="804">
        <v>45.053333333333327</v>
      </c>
    </row>
    <row r="24" spans="1:10" ht="15.95" customHeight="1">
      <c r="A24" s="144">
        <v>1987</v>
      </c>
      <c r="B24" s="145">
        <v>5.4016111111111114</v>
      </c>
      <c r="C24" s="145">
        <v>12.701111111111111</v>
      </c>
      <c r="D24" s="145">
        <v>11.863611111111112</v>
      </c>
      <c r="E24" s="145">
        <v>0.50749999999999995</v>
      </c>
      <c r="F24" s="145">
        <v>3.7628333333333321</v>
      </c>
      <c r="G24" s="145">
        <v>3.7050000000000001</v>
      </c>
      <c r="H24" s="145">
        <v>6.9069444444444441</v>
      </c>
      <c r="I24" s="145">
        <v>2.7438888888888888</v>
      </c>
      <c r="J24" s="148">
        <v>47.592499999999994</v>
      </c>
    </row>
    <row r="25" spans="1:10" ht="15.95" customHeight="1">
      <c r="A25" s="802">
        <v>1988</v>
      </c>
      <c r="B25" s="798">
        <v>5.3735555555555559</v>
      </c>
      <c r="C25" s="798">
        <v>11.801111111111112</v>
      </c>
      <c r="D25" s="798">
        <v>7.6916666666666664</v>
      </c>
      <c r="E25" s="798">
        <v>0.58333333333333337</v>
      </c>
      <c r="F25" s="798">
        <v>4.1514444444444445</v>
      </c>
      <c r="G25" s="798">
        <v>4.9161111111111113</v>
      </c>
      <c r="H25" s="798">
        <v>6.9222222222222216</v>
      </c>
      <c r="I25" s="798">
        <v>2.8011111111111107</v>
      </c>
      <c r="J25" s="804">
        <v>44.240555555555559</v>
      </c>
    </row>
    <row r="26" spans="1:10" ht="15.95" customHeight="1">
      <c r="A26" s="144">
        <v>1989</v>
      </c>
      <c r="B26" s="145">
        <v>5.0216666666666665</v>
      </c>
      <c r="C26" s="145">
        <v>8.9191666666666656</v>
      </c>
      <c r="D26" s="145">
        <v>5.2183333333333328</v>
      </c>
      <c r="E26" s="145">
        <v>1.37</v>
      </c>
      <c r="F26" s="145">
        <v>4.491666666666668</v>
      </c>
      <c r="G26" s="145">
        <v>5.2188888888888885</v>
      </c>
      <c r="H26" s="145">
        <v>6.8311111111111114</v>
      </c>
      <c r="I26" s="145">
        <v>3.3272222222222223</v>
      </c>
      <c r="J26" s="148">
        <v>40.398055555555558</v>
      </c>
    </row>
    <row r="27" spans="1:10" ht="15.95" customHeight="1">
      <c r="A27" s="802">
        <v>1990</v>
      </c>
      <c r="B27" s="798">
        <v>5.2676666666666669</v>
      </c>
      <c r="C27" s="798">
        <v>8.225833333333334</v>
      </c>
      <c r="D27" s="798">
        <v>4.1155555555555559</v>
      </c>
      <c r="E27" s="798">
        <v>1.9961111111111112</v>
      </c>
      <c r="F27" s="798">
        <v>5.0948333333333329</v>
      </c>
      <c r="G27" s="798">
        <v>6.3369444444444447</v>
      </c>
      <c r="H27" s="798">
        <v>7.0830555555555552</v>
      </c>
      <c r="I27" s="798">
        <v>3.0130555555555558</v>
      </c>
      <c r="J27" s="804">
        <v>41.133055555555558</v>
      </c>
    </row>
    <row r="28" spans="1:10" ht="15.95" customHeight="1">
      <c r="A28" s="144">
        <v>1991</v>
      </c>
      <c r="B28" s="145">
        <v>6.1953333333333331</v>
      </c>
      <c r="C28" s="145">
        <v>7.7447222222222214</v>
      </c>
      <c r="D28" s="145">
        <v>5.6986111111111111</v>
      </c>
      <c r="E28" s="145">
        <v>2.4494444444444445</v>
      </c>
      <c r="F28" s="145">
        <v>6.2213333333333329</v>
      </c>
      <c r="G28" s="145">
        <v>6.1508333333333329</v>
      </c>
      <c r="H28" s="145">
        <v>7.3869444444444445</v>
      </c>
      <c r="I28" s="145">
        <v>2.9919444444444445</v>
      </c>
      <c r="J28" s="148">
        <v>44.839166666666664</v>
      </c>
    </row>
    <row r="29" spans="1:10" ht="15.95" customHeight="1">
      <c r="A29" s="802">
        <v>1992</v>
      </c>
      <c r="B29" s="798">
        <v>7.2650555555555556</v>
      </c>
      <c r="C29" s="798">
        <v>6.65</v>
      </c>
      <c r="D29" s="798">
        <v>5.6183333333333332</v>
      </c>
      <c r="E29" s="798">
        <v>2.9097222222222223</v>
      </c>
      <c r="F29" s="798">
        <v>6.13161111111111</v>
      </c>
      <c r="G29" s="798">
        <v>5.7919444444444448</v>
      </c>
      <c r="H29" s="798">
        <v>6.9130555555555553</v>
      </c>
      <c r="I29" s="798">
        <v>3.145</v>
      </c>
      <c r="J29" s="804">
        <v>44.424722222222222</v>
      </c>
    </row>
    <row r="30" spans="1:10" ht="15.95" customHeight="1">
      <c r="A30" s="144">
        <v>1993</v>
      </c>
      <c r="B30" s="145">
        <v>9.389166666666668</v>
      </c>
      <c r="C30" s="145">
        <v>6.1447222222222218</v>
      </c>
      <c r="D30" s="145">
        <v>6.328611111111111</v>
      </c>
      <c r="E30" s="145">
        <v>2.9791666666666665</v>
      </c>
      <c r="F30" s="145">
        <v>6.1769444444444437</v>
      </c>
      <c r="G30" s="145">
        <v>5.0449999999999999</v>
      </c>
      <c r="H30" s="145">
        <v>7.213055555555556</v>
      </c>
      <c r="I30" s="145">
        <v>3.2780555555555555</v>
      </c>
      <c r="J30" s="148">
        <v>46.554722222222225</v>
      </c>
    </row>
    <row r="31" spans="1:10" ht="15.95" customHeight="1">
      <c r="A31" s="802">
        <v>1994</v>
      </c>
      <c r="B31" s="798">
        <v>12.328888888888889</v>
      </c>
      <c r="C31" s="798">
        <v>5.1741666666666672</v>
      </c>
      <c r="D31" s="798">
        <v>7.9652777777777777</v>
      </c>
      <c r="E31" s="798">
        <v>2.9983333333333335</v>
      </c>
      <c r="F31" s="798">
        <v>6.1744444444444433</v>
      </c>
      <c r="G31" s="798">
        <v>2.7530555555555556</v>
      </c>
      <c r="H31" s="798">
        <v>6.9191666666666665</v>
      </c>
      <c r="I31" s="798">
        <v>3.33</v>
      </c>
      <c r="J31" s="804">
        <v>47.643333333333338</v>
      </c>
    </row>
    <row r="32" spans="1:10" ht="15.95" customHeight="1">
      <c r="A32" s="144">
        <v>1995</v>
      </c>
      <c r="B32" s="145">
        <v>14.357166666666666</v>
      </c>
      <c r="C32" s="145">
        <v>4.5127777777777771</v>
      </c>
      <c r="D32" s="145">
        <v>7.0427777777777774</v>
      </c>
      <c r="E32" s="145">
        <v>2.8138888888888887</v>
      </c>
      <c r="F32" s="145">
        <v>6.6000555555555565</v>
      </c>
      <c r="G32" s="145">
        <v>3.3591666666666664</v>
      </c>
      <c r="H32" s="145">
        <v>6.9669444444444446</v>
      </c>
      <c r="I32" s="145">
        <v>3.2019444444444445</v>
      </c>
      <c r="J32" s="148">
        <v>48.854722222222222</v>
      </c>
    </row>
    <row r="33" spans="1:13" ht="15.95" customHeight="1">
      <c r="A33" s="802">
        <v>1996</v>
      </c>
      <c r="B33" s="798">
        <v>17.687833333333334</v>
      </c>
      <c r="C33" s="798">
        <v>5.0316666666666672</v>
      </c>
      <c r="D33" s="798">
        <v>10.451388888888889</v>
      </c>
      <c r="E33" s="798">
        <v>2.6872222222222222</v>
      </c>
      <c r="F33" s="798">
        <v>7.0957777777777773</v>
      </c>
      <c r="G33" s="798">
        <v>1.68</v>
      </c>
      <c r="H33" s="798">
        <v>6.9161111111111113</v>
      </c>
      <c r="I33" s="798">
        <v>2.7938888888888886</v>
      </c>
      <c r="J33" s="804">
        <v>54.343888888888891</v>
      </c>
    </row>
    <row r="34" spans="1:13" ht="15.95" customHeight="1">
      <c r="A34" s="144">
        <v>1997</v>
      </c>
      <c r="B34" s="145">
        <v>16.959222222222223</v>
      </c>
      <c r="C34" s="145">
        <v>3.9772222222222222</v>
      </c>
      <c r="D34" s="145">
        <v>6.0933333333333328</v>
      </c>
      <c r="E34" s="145">
        <v>3.1538888888888885</v>
      </c>
      <c r="F34" s="145">
        <v>6.8938333333333324</v>
      </c>
      <c r="G34" s="145">
        <v>2.17</v>
      </c>
      <c r="H34" s="145">
        <v>6.108888888888889</v>
      </c>
      <c r="I34" s="145">
        <v>3.34</v>
      </c>
      <c r="J34" s="148">
        <v>48.69638888888889</v>
      </c>
    </row>
    <row r="35" spans="1:13" ht="15.95" customHeight="1">
      <c r="A35" s="802">
        <v>1998</v>
      </c>
      <c r="B35" s="798">
        <v>17.719444444444445</v>
      </c>
      <c r="C35" s="798">
        <v>3.5111111111111111</v>
      </c>
      <c r="D35" s="798">
        <v>7.6488888888888891</v>
      </c>
      <c r="E35" s="798">
        <v>3.2561111111111107</v>
      </c>
      <c r="F35" s="798">
        <v>7.1444444444444413</v>
      </c>
      <c r="G35" s="798">
        <v>1.7369444444444444</v>
      </c>
      <c r="H35" s="798">
        <v>7.3680555555555554</v>
      </c>
      <c r="I35" s="798">
        <v>3.907777777777778</v>
      </c>
      <c r="J35" s="804">
        <v>52.292777777777779</v>
      </c>
      <c r="K35" s="219"/>
      <c r="L35" s="219"/>
    </row>
    <row r="36" spans="1:13" ht="15.95" customHeight="1">
      <c r="A36" s="144">
        <v>1999</v>
      </c>
      <c r="B36" s="145">
        <v>18.039222222222218</v>
      </c>
      <c r="C36" s="145">
        <v>2.8472222222222223</v>
      </c>
      <c r="D36" s="145">
        <v>5.2069444444444439</v>
      </c>
      <c r="E36" s="145">
        <v>2.9052777777777776</v>
      </c>
      <c r="F36" s="145">
        <v>5.5863333333333358</v>
      </c>
      <c r="G36" s="145">
        <v>1.5022222222222221</v>
      </c>
      <c r="H36" s="145">
        <v>7.5238888888888891</v>
      </c>
      <c r="I36" s="145">
        <v>4.807777777777777</v>
      </c>
      <c r="J36" s="148">
        <v>48.418888888888887</v>
      </c>
      <c r="K36" s="219"/>
      <c r="L36" s="219"/>
      <c r="M36" s="219"/>
    </row>
    <row r="37" spans="1:13" ht="15.95" customHeight="1">
      <c r="A37" s="802">
        <v>2000</v>
      </c>
      <c r="B37" s="798">
        <v>18.045111111111112</v>
      </c>
      <c r="C37" s="798">
        <v>2.3947222222222222</v>
      </c>
      <c r="D37" s="798">
        <v>3.1672222222222222</v>
      </c>
      <c r="E37" s="798">
        <v>2.3044444444444445</v>
      </c>
      <c r="F37" s="798">
        <v>5.7462777777777738</v>
      </c>
      <c r="G37" s="798">
        <v>2.0511111111111107</v>
      </c>
      <c r="H37" s="798">
        <v>7.484166666666666</v>
      </c>
      <c r="I37" s="798">
        <v>4.6438888888888883</v>
      </c>
      <c r="J37" s="804">
        <v>45.836944444444441</v>
      </c>
      <c r="K37" s="219"/>
      <c r="L37" s="219"/>
    </row>
    <row r="38" spans="1:13" ht="15.95" customHeight="1">
      <c r="A38" s="144">
        <v>2001</v>
      </c>
      <c r="B38" s="145">
        <v>21.44394444444444</v>
      </c>
      <c r="C38" s="145">
        <v>2.0302777777777776</v>
      </c>
      <c r="D38" s="145">
        <v>4.3886111111111115</v>
      </c>
      <c r="E38" s="145">
        <v>2.9072222222222224</v>
      </c>
      <c r="F38" s="145">
        <v>5.9499444444444451</v>
      </c>
      <c r="G38" s="145">
        <v>1.6908333333333332</v>
      </c>
      <c r="H38" s="145">
        <v>7.596111111111111</v>
      </c>
      <c r="I38" s="145">
        <v>4.9141666666666666</v>
      </c>
      <c r="J38" s="148">
        <v>50.921111111111109</v>
      </c>
      <c r="K38" s="219"/>
      <c r="L38" s="219"/>
      <c r="M38" s="219"/>
    </row>
    <row r="39" spans="1:13" ht="15.95" customHeight="1">
      <c r="A39" s="802">
        <v>2002</v>
      </c>
      <c r="B39" s="798">
        <v>21.781555555555556</v>
      </c>
      <c r="C39" s="798">
        <v>2.0905555555555555</v>
      </c>
      <c r="D39" s="798">
        <v>4.7558333333333334</v>
      </c>
      <c r="E39" s="798">
        <v>2.9930555555555558</v>
      </c>
      <c r="F39" s="798">
        <v>6.804555555555555</v>
      </c>
      <c r="G39" s="798">
        <v>1.3119444444444444</v>
      </c>
      <c r="H39" s="798">
        <v>7.69</v>
      </c>
      <c r="I39" s="798">
        <v>4.3311111111111114</v>
      </c>
      <c r="J39" s="804">
        <v>51.758611111111108</v>
      </c>
      <c r="K39" s="219"/>
      <c r="L39" s="219"/>
    </row>
    <row r="40" spans="1:13" ht="15.95" customHeight="1">
      <c r="A40" s="144">
        <v>2003</v>
      </c>
      <c r="B40" s="145">
        <v>22.060833333333331</v>
      </c>
      <c r="C40" s="145">
        <v>2.0575000000000001</v>
      </c>
      <c r="D40" s="145">
        <v>5.0316666666666672</v>
      </c>
      <c r="E40" s="145">
        <v>2.9722222222222223</v>
      </c>
      <c r="F40" s="145">
        <v>7.6627777777777775</v>
      </c>
      <c r="G40" s="145">
        <v>0.48583333333333334</v>
      </c>
      <c r="H40" s="145">
        <v>6.6238888888888887</v>
      </c>
      <c r="I40" s="145">
        <v>5.3449999999999998</v>
      </c>
      <c r="J40" s="148">
        <v>52.239722222222213</v>
      </c>
      <c r="K40" s="219"/>
      <c r="L40" s="219"/>
      <c r="M40" s="219"/>
    </row>
    <row r="41" spans="1:13" ht="15.95" customHeight="1">
      <c r="A41" s="802">
        <v>2004</v>
      </c>
      <c r="B41" s="798">
        <v>20.75461111111111</v>
      </c>
      <c r="C41" s="798">
        <v>3.5680555555555555</v>
      </c>
      <c r="D41" s="798">
        <v>3.9041666666666663</v>
      </c>
      <c r="E41" s="798">
        <v>2.5533333333333337</v>
      </c>
      <c r="F41" s="798">
        <v>7.3920555555555545</v>
      </c>
      <c r="G41" s="798">
        <v>0.36888888888888888</v>
      </c>
      <c r="H41" s="798">
        <v>6.6769444444444446</v>
      </c>
      <c r="I41" s="798">
        <v>6.3680555555555554</v>
      </c>
      <c r="J41" s="804">
        <v>51.586111111111109</v>
      </c>
      <c r="K41" s="219"/>
      <c r="L41" s="219"/>
    </row>
    <row r="42" spans="1:13" ht="15.95" customHeight="1">
      <c r="A42" s="144">
        <v>2005</v>
      </c>
      <c r="B42" s="145">
        <v>27.952222222222222</v>
      </c>
      <c r="C42" s="145">
        <v>3.07</v>
      </c>
      <c r="D42" s="145">
        <v>3.1766666666666663</v>
      </c>
      <c r="E42" s="145">
        <v>2.2583333333333333</v>
      </c>
      <c r="F42" s="145">
        <v>5.6894444444444447</v>
      </c>
      <c r="G42" s="145">
        <v>0.56388888888888888</v>
      </c>
      <c r="H42" s="145">
        <v>6.1936111111111112</v>
      </c>
      <c r="I42" s="145">
        <v>5.375</v>
      </c>
      <c r="J42" s="148">
        <v>54.279166666666669</v>
      </c>
      <c r="K42" s="219"/>
      <c r="L42" s="219"/>
      <c r="M42" s="219"/>
    </row>
    <row r="43" spans="1:13" ht="15.95" customHeight="1">
      <c r="A43" s="802">
        <v>2006</v>
      </c>
      <c r="B43" s="798">
        <v>30.923888888888886</v>
      </c>
      <c r="C43" s="798">
        <v>3.62</v>
      </c>
      <c r="D43" s="798">
        <v>3.9513888888888888</v>
      </c>
      <c r="E43" s="798">
        <v>1.9952777777777779</v>
      </c>
      <c r="F43" s="798">
        <v>5.7416666666666671</v>
      </c>
      <c r="G43" s="798">
        <v>0.32916666666666666</v>
      </c>
      <c r="H43" s="798">
        <v>5.8388888888888886</v>
      </c>
      <c r="I43" s="798">
        <v>6.3019444444444446</v>
      </c>
      <c r="J43" s="804">
        <v>58.702222222222218</v>
      </c>
      <c r="K43" s="219"/>
      <c r="L43" s="219"/>
    </row>
    <row r="44" spans="1:13" ht="15.95" customHeight="1">
      <c r="A44" s="144">
        <v>2007</v>
      </c>
      <c r="B44" s="145">
        <v>30.95611111111111</v>
      </c>
      <c r="C44" s="145">
        <v>2.9211111111111108</v>
      </c>
      <c r="D44" s="145">
        <v>2.44</v>
      </c>
      <c r="E44" s="145">
        <v>2.3547222222222222</v>
      </c>
      <c r="F44" s="145">
        <v>6.7125000000000004</v>
      </c>
      <c r="G44" s="145">
        <v>0.40250000000000002</v>
      </c>
      <c r="H44" s="145">
        <v>5.7886111111111109</v>
      </c>
      <c r="I44" s="145">
        <v>6.5230555555555556</v>
      </c>
      <c r="J44" s="148">
        <v>58.098611111111111</v>
      </c>
      <c r="K44" s="219"/>
      <c r="L44" s="219"/>
      <c r="M44" s="219"/>
    </row>
    <row r="45" spans="1:13" ht="15.95" customHeight="1">
      <c r="A45" s="802">
        <v>2008</v>
      </c>
      <c r="B45" s="798">
        <v>31.373055555555556</v>
      </c>
      <c r="C45" s="798">
        <v>2.6055555555555556</v>
      </c>
      <c r="D45" s="798">
        <v>1.4366666666666668</v>
      </c>
      <c r="E45" s="798">
        <v>1.9416666666666664</v>
      </c>
      <c r="F45" s="798">
        <v>7.4758333333333331</v>
      </c>
      <c r="G45" s="798">
        <v>0.20888888888888887</v>
      </c>
      <c r="H45" s="798">
        <v>5.6974999999999998</v>
      </c>
      <c r="I45" s="798">
        <v>3.6869444444444444</v>
      </c>
      <c r="J45" s="804">
        <v>54.426111111111112</v>
      </c>
      <c r="K45" s="219"/>
      <c r="L45" s="219"/>
    </row>
    <row r="46" spans="1:13" ht="15.95" customHeight="1">
      <c r="A46" s="144">
        <v>2009</v>
      </c>
      <c r="B46" s="145">
        <v>33.987222222222222</v>
      </c>
      <c r="C46" s="145">
        <v>2.6124999999999998</v>
      </c>
      <c r="D46" s="145">
        <v>2.6797222222222223</v>
      </c>
      <c r="E46" s="145">
        <v>3.6847222222222222</v>
      </c>
      <c r="F46" s="145">
        <v>7.253333333333333</v>
      </c>
      <c r="G46" s="145">
        <v>0.21055555555555555</v>
      </c>
      <c r="H46" s="145">
        <v>5.1944444444444446</v>
      </c>
      <c r="I46" s="145">
        <v>4.32</v>
      </c>
      <c r="J46" s="148">
        <v>59.942499999999995</v>
      </c>
      <c r="K46" s="219"/>
      <c r="L46" s="219"/>
      <c r="M46" s="219"/>
    </row>
    <row r="47" spans="1:13" ht="15.95" customHeight="1">
      <c r="A47" s="802">
        <v>2010</v>
      </c>
      <c r="B47" s="798">
        <v>38.379166666666663</v>
      </c>
      <c r="C47" s="798">
        <v>3.1438888888888887</v>
      </c>
      <c r="D47" s="798">
        <v>5.1891666666666669</v>
      </c>
      <c r="E47" s="798">
        <v>4.6880555555555556</v>
      </c>
      <c r="F47" s="798">
        <v>8.0038888888888895</v>
      </c>
      <c r="G47" s="798">
        <v>0.14444444444444443</v>
      </c>
      <c r="H47" s="798">
        <v>5.4238888888888885</v>
      </c>
      <c r="I47" s="798">
        <v>4.5049999999999999</v>
      </c>
      <c r="J47" s="804">
        <v>69.477499999999992</v>
      </c>
      <c r="K47" s="219"/>
      <c r="L47" s="219"/>
    </row>
    <row r="48" spans="1:13" ht="15.95" customHeight="1">
      <c r="A48" s="144">
        <v>2011</v>
      </c>
      <c r="B48" s="219">
        <v>33.790555555555557</v>
      </c>
      <c r="C48" s="219">
        <v>2.7138888888888886</v>
      </c>
      <c r="D48" s="219">
        <v>2.4869444444444442</v>
      </c>
      <c r="E48" s="219">
        <v>2.8372222222222221</v>
      </c>
      <c r="F48" s="219">
        <v>7.7288888888888883</v>
      </c>
      <c r="G48" s="219">
        <v>0.10861111111111112</v>
      </c>
      <c r="H48" s="219">
        <v>5.0566666666666666</v>
      </c>
      <c r="I48" s="219">
        <v>3.5652777777777778</v>
      </c>
      <c r="J48" s="251">
        <v>58.288055555555559</v>
      </c>
      <c r="K48" s="219"/>
      <c r="L48" s="219"/>
      <c r="M48" s="219"/>
    </row>
    <row r="49" spans="1:13" ht="15.95" customHeight="1">
      <c r="A49" s="802">
        <v>2012</v>
      </c>
      <c r="B49" s="798">
        <v>37.645833333333336</v>
      </c>
      <c r="C49" s="798">
        <v>2.6511111111111108</v>
      </c>
      <c r="D49" s="798">
        <v>2.2816666666666667</v>
      </c>
      <c r="E49" s="798">
        <v>2.3772222222222221</v>
      </c>
      <c r="F49" s="798">
        <v>7.5783333333333331</v>
      </c>
      <c r="G49" s="798">
        <v>0.25638888888888883</v>
      </c>
      <c r="H49" s="798">
        <v>5.7927777777777774</v>
      </c>
      <c r="I49" s="798">
        <v>4.8861111111111111</v>
      </c>
      <c r="J49" s="804">
        <v>63.469444444444449</v>
      </c>
      <c r="L49" s="219"/>
    </row>
    <row r="50" spans="1:13" ht="15.95" customHeight="1">
      <c r="A50" s="144">
        <v>2013</v>
      </c>
      <c r="B50" s="219">
        <v>37.902777777777771</v>
      </c>
      <c r="C50" s="219">
        <v>3.221111111111111</v>
      </c>
      <c r="D50" s="219">
        <v>1.6688888888888889</v>
      </c>
      <c r="E50" s="219">
        <v>2.1930555555555555</v>
      </c>
      <c r="F50" s="219">
        <v>7.5308333333333328</v>
      </c>
      <c r="G50" s="219">
        <v>0.31194444444444447</v>
      </c>
      <c r="H50" s="219">
        <v>4.4608333333333334</v>
      </c>
      <c r="I50" s="219">
        <v>4.8369444444444447</v>
      </c>
      <c r="J50" s="251">
        <v>62.126388888888883</v>
      </c>
      <c r="K50" s="219"/>
      <c r="L50" s="219"/>
      <c r="M50" s="219"/>
    </row>
    <row r="51" spans="1:13" ht="15.95" customHeight="1">
      <c r="A51" s="802">
        <v>2014</v>
      </c>
      <c r="B51" s="798">
        <v>36.396666666666661</v>
      </c>
      <c r="C51" s="798">
        <v>2.4922222222222223</v>
      </c>
      <c r="D51" s="798">
        <v>1.0225</v>
      </c>
      <c r="E51" s="798">
        <v>1.201111111111111</v>
      </c>
      <c r="F51" s="798">
        <v>7.4719444444444445</v>
      </c>
      <c r="G51" s="798">
        <v>0.3075</v>
      </c>
      <c r="H51" s="798">
        <v>5.0294444444444446</v>
      </c>
      <c r="I51" s="798">
        <v>4.3683333333333332</v>
      </c>
      <c r="J51" s="804">
        <v>58.289722222222217</v>
      </c>
      <c r="L51" s="219"/>
    </row>
    <row r="52" spans="1:13" ht="15.95" customHeight="1">
      <c r="A52" s="144">
        <v>2015</v>
      </c>
      <c r="B52" s="219">
        <v>36.938611111111108</v>
      </c>
      <c r="C52" s="219">
        <v>2.3774999999999999</v>
      </c>
      <c r="D52" s="219">
        <v>0.8586111111111111</v>
      </c>
      <c r="E52" s="219">
        <v>1.1947222222222222</v>
      </c>
      <c r="F52" s="219">
        <v>7.4950000000000001</v>
      </c>
      <c r="G52" s="219">
        <v>0.30555555555555552</v>
      </c>
      <c r="H52" s="219">
        <v>4.9258333333333333</v>
      </c>
      <c r="I52" s="219">
        <v>4.527222222222222</v>
      </c>
      <c r="J52" s="251">
        <v>58.623055555555553</v>
      </c>
      <c r="K52" s="219"/>
      <c r="L52" s="219"/>
      <c r="M52" s="219"/>
    </row>
    <row r="53" spans="1:13" ht="15.95" customHeight="1">
      <c r="A53" s="144"/>
      <c r="B53" s="219"/>
      <c r="C53" s="219"/>
      <c r="D53" s="219"/>
      <c r="E53" s="219"/>
      <c r="F53" s="219"/>
      <c r="G53" s="219"/>
      <c r="H53" s="219"/>
      <c r="I53" s="219"/>
      <c r="J53" s="251"/>
      <c r="K53" s="219"/>
      <c r="L53" s="219"/>
      <c r="M53" s="219"/>
    </row>
    <row r="54" spans="1:13" ht="15.95" customHeight="1">
      <c r="A54" s="140" t="s">
        <v>27</v>
      </c>
      <c r="B54" s="149"/>
      <c r="C54" s="149"/>
      <c r="D54" s="149"/>
      <c r="E54" s="149"/>
      <c r="F54" s="149"/>
      <c r="G54" s="149"/>
      <c r="H54" s="149"/>
      <c r="I54" s="149"/>
      <c r="J54" s="150"/>
      <c r="K54" s="219"/>
      <c r="L54" s="219"/>
    </row>
    <row r="56" spans="1:13">
      <c r="A56" s="13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theme="6" tint="0.39997558519241921"/>
  </sheetPr>
  <dimension ref="A1:AQ41"/>
  <sheetViews>
    <sheetView showWhiteSpace="0" zoomScaleNormal="100" workbookViewId="0">
      <pane ySplit="7" topLeftCell="A8" activePane="bottomLeft" state="frozen"/>
      <selection pane="bottomLeft" activeCell="D1" sqref="D1"/>
    </sheetView>
  </sheetViews>
  <sheetFormatPr defaultColWidth="0.1328125" defaultRowHeight="13.15"/>
  <cols>
    <col min="1" max="1" width="9.73046875" style="141" customWidth="1"/>
    <col min="2" max="2" width="8.86328125" style="152" customWidth="1"/>
    <col min="3" max="3" width="10.73046875" style="152" customWidth="1"/>
    <col min="4" max="4" width="11.265625" style="152" customWidth="1"/>
    <col min="5" max="5" width="8.73046875" style="152" customWidth="1"/>
    <col min="6" max="6" width="10.73046875" style="152" customWidth="1"/>
    <col min="7" max="7" width="11.73046875" style="152" customWidth="1"/>
    <col min="8" max="8" width="14.59765625" style="152" customWidth="1"/>
    <col min="9" max="9" width="12.73046875" style="152" customWidth="1"/>
    <col min="10" max="10" width="10.73046875" style="152" customWidth="1"/>
    <col min="11" max="11" width="6.265625" style="152" bestFit="1" customWidth="1"/>
    <col min="12" max="12" width="5.59765625" style="152" bestFit="1" customWidth="1"/>
    <col min="13" max="13" width="9.73046875" style="152" customWidth="1"/>
    <col min="14" max="14" width="8.1328125" style="133" customWidth="1"/>
    <col min="15" max="15" width="0.1328125" style="133" customWidth="1"/>
    <col min="16" max="16" width="8.73046875" style="133" customWidth="1"/>
    <col min="17" max="17" width="9.3984375" style="133" customWidth="1"/>
    <col min="18" max="25" width="0.1328125" style="133" customWidth="1"/>
    <col min="26" max="43" width="0.1328125" style="133" hidden="1" customWidth="1"/>
    <col min="44" max="16384" width="0.1328125" style="133"/>
  </cols>
  <sheetData>
    <row r="1" spans="1:16" ht="15.95" customHeight="1">
      <c r="A1" s="524" t="str">
        <f>IF(språk=lista[[#Headers],[Svenska]],"Innehåll",IF(språk=lista[[#Headers],[English]],"Contents","FEL"))</f>
        <v>Contents</v>
      </c>
    </row>
    <row r="2" spans="1:16" ht="15.95" customHeight="1"/>
    <row r="3" spans="1:16" ht="15.95" customHeight="1">
      <c r="A3" s="151" t="str">
        <f>IFERROR(INDEX(lista[],MATCH($P5,lista[ID],0),MATCH(språk,lista[#Headers],0)),"")</f>
        <v>District cooling, supply (GWh), number of customers and grid length (km), from 1992</v>
      </c>
    </row>
    <row r="4" spans="1:16" s="274" customFormat="1" ht="15.95" customHeight="1">
      <c r="A4" s="583"/>
      <c r="B4" s="584"/>
      <c r="C4" s="584"/>
      <c r="D4" s="275"/>
      <c r="E4" s="275"/>
      <c r="F4" s="275"/>
      <c r="G4" s="275"/>
      <c r="H4" s="275"/>
      <c r="I4" s="275"/>
      <c r="J4" s="275"/>
      <c r="K4" s="275"/>
      <c r="L4" s="275"/>
      <c r="M4" s="275"/>
    </row>
    <row r="5" spans="1:16" s="274" customFormat="1" ht="15.95" hidden="1" customHeight="1">
      <c r="A5" s="398">
        <v>1</v>
      </c>
      <c r="B5" s="275" t="s">
        <v>648</v>
      </c>
      <c r="C5" s="275" t="s">
        <v>649</v>
      </c>
      <c r="D5" s="275" t="s">
        <v>650</v>
      </c>
      <c r="E5" s="275" t="s">
        <v>651</v>
      </c>
      <c r="F5" s="275" t="s">
        <v>652</v>
      </c>
      <c r="G5" s="275" t="s">
        <v>653</v>
      </c>
      <c r="H5" s="275" t="s">
        <v>654</v>
      </c>
      <c r="I5" s="275" t="s">
        <v>655</v>
      </c>
      <c r="J5" s="275" t="s">
        <v>656</v>
      </c>
      <c r="K5" s="275" t="s">
        <v>657</v>
      </c>
      <c r="L5" s="275" t="s">
        <v>658</v>
      </c>
      <c r="M5" s="275" t="s">
        <v>660</v>
      </c>
      <c r="N5" s="274" t="s">
        <v>661</v>
      </c>
      <c r="P5" s="274">
        <v>52</v>
      </c>
    </row>
    <row r="6" spans="1:16" s="155" customFormat="1" ht="39.75" customHeight="1">
      <c r="A6" s="153" t="str">
        <f>IFERROR(INDEX(_7.3[],MATCH(språk,_7.3[[id]:[id]],0),MATCH(A$5,_7.3[#Headers],0)),"")</f>
        <v/>
      </c>
      <c r="B6" s="153" t="str">
        <f>IFERROR(INDEX(_7.3[],MATCH(språk,_7.3[[id]:[id]],0),MATCH(B$5,_7.3[#Headers],0)),"")</f>
        <v>Vattenfall AB Värme</v>
      </c>
      <c r="C6" s="153" t="str">
        <f>IFERROR(INDEX(_7.3[],MATCH(språk,_7.3[[id]:[id]],0),MATCH(C$5,_7.3[#Headers],0)),"")</f>
        <v>Tekniska Verken i Linköping AB</v>
      </c>
      <c r="D6" s="153" t="str">
        <f>IFERROR(INDEX(_7.3[],MATCH(språk,_7.3[[id]:[id]],0),MATCH(D$5,_7.3[#Headers],0)),"")</f>
        <v>Norrenergi AB</v>
      </c>
      <c r="E6" s="153" t="str">
        <f>IFERROR(INDEX(_7.3[],MATCH(språk,_7.3[[id]:[id]],0),MATCH(E$5,_7.3[#Headers],0)),"")</f>
        <v>Göteborg Energi AB</v>
      </c>
      <c r="F6" s="153" t="str">
        <f>IFERROR(INDEX(_7.3[],MATCH(språk,_7.3[[id]:[id]],0),MATCH(F$5,_7.3[#Headers],0)),"")</f>
        <v>Mälarenergi AB</v>
      </c>
      <c r="G6" s="153" t="str">
        <f>IFERROR(INDEX(_7.3[],MATCH(språk,_7.3[[id]:[id]],0),MATCH(G$5,_7.3[#Headers],0)),"")</f>
        <v>Södertörns Fjärrvärme AB</v>
      </c>
      <c r="H6" s="153" t="str">
        <f>IFERROR(INDEX(_7.3[],MATCH(språk,_7.3[[id]:[id]],0),MATCH(H$5,_7.3[#Headers],0)),"")</f>
        <v>Fortum Värme,  AB s.m. Stockholms stad</v>
      </c>
      <c r="I6" s="153" t="str">
        <f>IFERROR(INDEX(_7.3[],MATCH(språk,_7.3[[id]:[id]],0),MATCH(I$5,_7.3[#Headers],0)),"")</f>
        <v>Öresundskraft AB</v>
      </c>
      <c r="J6" s="153" t="str">
        <f>IFERROR(INDEX(_7.3[],MATCH(språk,_7.3[[id]:[id]],0),MATCH(J$5,_7.3[#Headers],0)),"")</f>
        <v>Kraftringen AB</v>
      </c>
      <c r="K6" s="153" t="str">
        <f>IFERROR(INDEX(_7.3[],MATCH(språk,_7.3[[id]:[id]],0),MATCH(K$5,_7.3[#Headers],0)),"")</f>
        <v>Others</v>
      </c>
      <c r="L6" s="153" t="str">
        <f>IFERROR(INDEX(_7.3[],MATCH(språk,_7.3[[id]:[id]],0),MATCH(L$5,_7.3[#Headers],0)),"")</f>
        <v>Total</v>
      </c>
      <c r="M6" s="153" t="str">
        <f>IFERROR(INDEX(_7.3[],MATCH(språk,_7.3[[id]:[id]],0),MATCH(M$5,_7.3[#Headers],0)),"")</f>
        <v>Number of customers</v>
      </c>
      <c r="N6" s="153" t="str">
        <f>IFERROR(INDEX(_7.3[],MATCH(språk,_7.3[[id]:[id]],0),MATCH(N$5,_7.3[#Headers],0)),"")</f>
        <v>Grid length (km)</v>
      </c>
      <c r="O6" s="153" t="str">
        <f>IFERROR(INDEX(_7.3[],MATCH(språk,_7.3[[id]:[id]],0),MATCH(O$5,_7.3[#Headers],0)),"")</f>
        <v/>
      </c>
    </row>
    <row r="7" spans="1:16" s="155" customFormat="1" ht="24.75" customHeight="1">
      <c r="A7" s="156"/>
      <c r="B7" s="154" t="s">
        <v>202</v>
      </c>
      <c r="C7" s="154" t="s">
        <v>203</v>
      </c>
      <c r="D7" s="154" t="s">
        <v>204</v>
      </c>
      <c r="E7" s="154" t="s">
        <v>205</v>
      </c>
      <c r="F7" s="154" t="s">
        <v>53</v>
      </c>
      <c r="G7" s="153" t="s">
        <v>206</v>
      </c>
      <c r="H7" s="153" t="s">
        <v>207</v>
      </c>
      <c r="I7" s="154" t="s">
        <v>54</v>
      </c>
      <c r="J7" s="154" t="s">
        <v>208</v>
      </c>
      <c r="K7" s="157"/>
      <c r="L7" s="158"/>
      <c r="M7" s="158"/>
      <c r="N7" s="158"/>
    </row>
    <row r="8" spans="1:16" ht="15.95" customHeight="1">
      <c r="A8" s="806">
        <v>33969</v>
      </c>
      <c r="B8" s="807"/>
      <c r="C8" s="807"/>
      <c r="D8" s="807"/>
      <c r="E8" s="807"/>
      <c r="F8" s="807">
        <v>1.2</v>
      </c>
      <c r="G8" s="807"/>
      <c r="H8" s="807"/>
      <c r="I8" s="807"/>
      <c r="J8" s="807"/>
      <c r="K8" s="807">
        <v>0</v>
      </c>
      <c r="L8" s="808">
        <v>1.2</v>
      </c>
      <c r="M8" s="807">
        <v>1</v>
      </c>
      <c r="N8" s="807"/>
    </row>
    <row r="9" spans="1:16" ht="15.95" customHeight="1">
      <c r="A9" s="159">
        <v>34334</v>
      </c>
      <c r="B9" s="688"/>
      <c r="C9" s="688"/>
      <c r="D9" s="688"/>
      <c r="E9" s="688"/>
      <c r="F9" s="688">
        <v>6.6</v>
      </c>
      <c r="G9" s="688"/>
      <c r="H9" s="688"/>
      <c r="I9" s="688"/>
      <c r="J9" s="688"/>
      <c r="K9" s="688">
        <v>9.9999999999999645E-2</v>
      </c>
      <c r="L9" s="689">
        <v>6.6999999999999993</v>
      </c>
      <c r="M9" s="688">
        <v>6</v>
      </c>
      <c r="N9" s="688"/>
    </row>
    <row r="10" spans="1:16" ht="15.95" customHeight="1">
      <c r="A10" s="806">
        <v>34699</v>
      </c>
      <c r="B10" s="807"/>
      <c r="C10" s="807"/>
      <c r="D10" s="807"/>
      <c r="E10" s="807"/>
      <c r="F10" s="807">
        <v>11.8</v>
      </c>
      <c r="G10" s="807"/>
      <c r="H10" s="807"/>
      <c r="I10" s="807"/>
      <c r="J10" s="807"/>
      <c r="K10" s="807">
        <v>1.1300000000000008</v>
      </c>
      <c r="L10" s="808">
        <v>12.930000000000001</v>
      </c>
      <c r="M10" s="807">
        <v>13</v>
      </c>
      <c r="N10" s="807"/>
    </row>
    <row r="11" spans="1:16" ht="15.95" customHeight="1">
      <c r="A11" s="159">
        <v>35064</v>
      </c>
      <c r="B11" s="688"/>
      <c r="C11" s="688"/>
      <c r="D11" s="688">
        <v>0.56999999999999995</v>
      </c>
      <c r="E11" s="688">
        <v>0.9</v>
      </c>
      <c r="F11" s="688">
        <v>15.23</v>
      </c>
      <c r="G11" s="688"/>
      <c r="H11" s="688">
        <v>10.72</v>
      </c>
      <c r="I11" s="688"/>
      <c r="J11" s="688"/>
      <c r="K11" s="688">
        <v>2.5399999999999956</v>
      </c>
      <c r="L11" s="689">
        <v>29.959999999999997</v>
      </c>
      <c r="M11" s="688">
        <v>65</v>
      </c>
      <c r="N11" s="688"/>
    </row>
    <row r="12" spans="1:16" ht="15.95" customHeight="1">
      <c r="A12" s="806">
        <v>35430</v>
      </c>
      <c r="B12" s="807"/>
      <c r="C12" s="807"/>
      <c r="D12" s="807">
        <v>7.1</v>
      </c>
      <c r="E12" s="807">
        <v>4</v>
      </c>
      <c r="F12" s="807">
        <v>17.47</v>
      </c>
      <c r="G12" s="807"/>
      <c r="H12" s="807">
        <v>34</v>
      </c>
      <c r="I12" s="807"/>
      <c r="J12" s="807">
        <v>0.57999999999999996</v>
      </c>
      <c r="K12" s="807">
        <v>7.4600000000000009</v>
      </c>
      <c r="L12" s="808">
        <v>70.61</v>
      </c>
      <c r="M12" s="807">
        <v>128</v>
      </c>
      <c r="N12" s="807">
        <v>31.562000000000001</v>
      </c>
    </row>
    <row r="13" spans="1:16" ht="15.95" customHeight="1">
      <c r="A13" s="159">
        <v>35795</v>
      </c>
      <c r="B13" s="688">
        <v>4.8099999999999996</v>
      </c>
      <c r="C13" s="688">
        <v>0.62</v>
      </c>
      <c r="D13" s="688">
        <v>15.18</v>
      </c>
      <c r="E13" s="688">
        <v>6.48</v>
      </c>
      <c r="F13" s="688">
        <v>19.670000000000002</v>
      </c>
      <c r="G13" s="688"/>
      <c r="H13" s="688">
        <v>80</v>
      </c>
      <c r="I13" s="688"/>
      <c r="J13" s="688">
        <v>8.76</v>
      </c>
      <c r="K13" s="688">
        <v>4.7499999999999716</v>
      </c>
      <c r="L13" s="689">
        <v>140.26999999999998</v>
      </c>
      <c r="M13" s="688">
        <v>181</v>
      </c>
      <c r="N13" s="688">
        <v>35.142000000000003</v>
      </c>
    </row>
    <row r="14" spans="1:16" ht="15.95" customHeight="1">
      <c r="A14" s="806">
        <v>36160</v>
      </c>
      <c r="B14" s="807">
        <v>6.74</v>
      </c>
      <c r="C14" s="807">
        <v>0.49</v>
      </c>
      <c r="D14" s="807">
        <v>13.26</v>
      </c>
      <c r="E14" s="807">
        <v>6.51</v>
      </c>
      <c r="F14" s="807">
        <v>15.7</v>
      </c>
      <c r="G14" s="807">
        <v>1.45</v>
      </c>
      <c r="H14" s="807">
        <v>120</v>
      </c>
      <c r="I14" s="807"/>
      <c r="J14" s="807">
        <v>9.91</v>
      </c>
      <c r="K14" s="807">
        <v>4.5400000000000205</v>
      </c>
      <c r="L14" s="808">
        <v>178.60000000000002</v>
      </c>
      <c r="M14" s="807">
        <v>302</v>
      </c>
      <c r="N14" s="807">
        <v>55.881999999999991</v>
      </c>
    </row>
    <row r="15" spans="1:16" ht="15.95" customHeight="1">
      <c r="A15" s="159">
        <v>36525</v>
      </c>
      <c r="B15" s="688">
        <v>9.43</v>
      </c>
      <c r="C15" s="688">
        <v>1.77</v>
      </c>
      <c r="D15" s="688">
        <v>22.05</v>
      </c>
      <c r="E15" s="688">
        <v>14.8</v>
      </c>
      <c r="F15" s="688">
        <v>19.21</v>
      </c>
      <c r="G15" s="688">
        <v>6.58</v>
      </c>
      <c r="H15" s="688">
        <v>173.22</v>
      </c>
      <c r="I15" s="688">
        <v>3.04</v>
      </c>
      <c r="J15" s="688">
        <v>20.010000000000002</v>
      </c>
      <c r="K15" s="688">
        <v>11.279999999999973</v>
      </c>
      <c r="L15" s="689">
        <v>281.39</v>
      </c>
      <c r="M15" s="688">
        <v>368</v>
      </c>
      <c r="N15" s="688">
        <v>84.641999999999996</v>
      </c>
    </row>
    <row r="16" spans="1:16" ht="15.95" customHeight="1">
      <c r="A16" s="806">
        <v>36891</v>
      </c>
      <c r="B16" s="807">
        <v>16.899999999999999</v>
      </c>
      <c r="C16" s="807">
        <v>4.4000000000000004</v>
      </c>
      <c r="D16" s="807">
        <v>23.1</v>
      </c>
      <c r="E16" s="807">
        <v>18.399999999999999</v>
      </c>
      <c r="F16" s="807">
        <v>18.2</v>
      </c>
      <c r="G16" s="807">
        <v>6.9</v>
      </c>
      <c r="H16" s="807">
        <v>202.4</v>
      </c>
      <c r="I16" s="807">
        <v>2.7</v>
      </c>
      <c r="J16" s="807">
        <v>23.7</v>
      </c>
      <c r="K16" s="807">
        <v>19.600000000000023</v>
      </c>
      <c r="L16" s="808">
        <v>336.3</v>
      </c>
      <c r="M16" s="807">
        <v>441</v>
      </c>
      <c r="N16" s="807">
        <v>103.19199999999999</v>
      </c>
    </row>
    <row r="17" spans="1:14" ht="15.95" customHeight="1">
      <c r="A17" s="159">
        <v>37256</v>
      </c>
      <c r="B17" s="688">
        <v>19.170999999999999</v>
      </c>
      <c r="C17" s="688">
        <v>6.5519999999999996</v>
      </c>
      <c r="D17" s="688">
        <v>40.6</v>
      </c>
      <c r="E17" s="688">
        <v>19.2</v>
      </c>
      <c r="F17" s="688">
        <v>19.84</v>
      </c>
      <c r="G17" s="688">
        <v>10.015000000000001</v>
      </c>
      <c r="H17" s="688">
        <v>229.07499999999999</v>
      </c>
      <c r="I17" s="688">
        <v>7.12</v>
      </c>
      <c r="J17" s="688">
        <v>36</v>
      </c>
      <c r="K17" s="688">
        <v>38.592000000000041</v>
      </c>
      <c r="L17" s="689">
        <v>426.16500000000002</v>
      </c>
      <c r="M17" s="688">
        <v>521</v>
      </c>
      <c r="N17" s="688">
        <v>129.09200000000001</v>
      </c>
    </row>
    <row r="18" spans="1:14" ht="15.95" customHeight="1">
      <c r="A18" s="806">
        <v>37621</v>
      </c>
      <c r="B18" s="807">
        <v>22.655999999999999</v>
      </c>
      <c r="C18" s="807">
        <v>18.5</v>
      </c>
      <c r="D18" s="807">
        <v>52.526000000000003</v>
      </c>
      <c r="E18" s="807">
        <v>28.552</v>
      </c>
      <c r="F18" s="807">
        <v>25.4</v>
      </c>
      <c r="G18" s="807">
        <v>16.626000000000001</v>
      </c>
      <c r="H18" s="807">
        <v>314.18700000000001</v>
      </c>
      <c r="I18" s="807">
        <v>13.234999999999999</v>
      </c>
      <c r="J18" s="807">
        <v>47</v>
      </c>
      <c r="K18" s="807">
        <v>58.982999999999834</v>
      </c>
      <c r="L18" s="808">
        <v>597.66499999999985</v>
      </c>
      <c r="M18" s="807">
        <v>788</v>
      </c>
      <c r="N18" s="807">
        <v>164.80199999999999</v>
      </c>
    </row>
    <row r="19" spans="1:14" ht="15.95" customHeight="1">
      <c r="A19" s="159">
        <v>37986</v>
      </c>
      <c r="B19" s="688">
        <v>21.640999999999998</v>
      </c>
      <c r="C19" s="688">
        <v>20.588000000000001</v>
      </c>
      <c r="D19" s="688">
        <v>53.7</v>
      </c>
      <c r="E19" s="688">
        <v>36.9</v>
      </c>
      <c r="F19" s="688">
        <v>25</v>
      </c>
      <c r="G19" s="688">
        <v>16.795999999999999</v>
      </c>
      <c r="H19" s="688">
        <v>344.69900000000001</v>
      </c>
      <c r="I19" s="688">
        <v>13.009</v>
      </c>
      <c r="J19" s="688">
        <v>47.378</v>
      </c>
      <c r="K19" s="688">
        <v>61.305999999999926</v>
      </c>
      <c r="L19" s="689">
        <v>641.01700000000005</v>
      </c>
      <c r="M19" s="688"/>
      <c r="N19" s="688">
        <v>182.35199999999998</v>
      </c>
    </row>
    <row r="20" spans="1:14" ht="15.95" customHeight="1">
      <c r="A20" s="806">
        <v>38352</v>
      </c>
      <c r="B20" s="807">
        <v>22.596</v>
      </c>
      <c r="C20" s="807">
        <v>22.16</v>
      </c>
      <c r="D20" s="807">
        <v>54.5</v>
      </c>
      <c r="E20" s="807">
        <v>35.1</v>
      </c>
      <c r="F20" s="807">
        <v>25.1</v>
      </c>
      <c r="G20" s="807">
        <v>15.420999999999999</v>
      </c>
      <c r="H20" s="807">
        <v>324.31599999999997</v>
      </c>
      <c r="I20" s="807">
        <v>12.863</v>
      </c>
      <c r="J20" s="807">
        <v>43.755000000000003</v>
      </c>
      <c r="K20" s="807">
        <v>63.759999999999877</v>
      </c>
      <c r="L20" s="808">
        <v>619.57099999999991</v>
      </c>
      <c r="M20" s="807"/>
      <c r="N20" s="807">
        <v>182.35199999999998</v>
      </c>
    </row>
    <row r="21" spans="1:14" ht="15.95" customHeight="1">
      <c r="A21" s="159">
        <v>38717</v>
      </c>
      <c r="B21" s="688">
        <v>22.065999999999999</v>
      </c>
      <c r="C21" s="688">
        <v>24.876000000000001</v>
      </c>
      <c r="D21" s="688">
        <v>58.756999999999998</v>
      </c>
      <c r="E21" s="688">
        <v>40.5</v>
      </c>
      <c r="F21" s="688">
        <v>23.367999999999999</v>
      </c>
      <c r="G21" s="688">
        <v>15.441000000000001</v>
      </c>
      <c r="H21" s="688">
        <v>342.47699999999998</v>
      </c>
      <c r="I21" s="688">
        <v>12.601000000000001</v>
      </c>
      <c r="J21" s="688">
        <v>50.19</v>
      </c>
      <c r="K21" s="688">
        <v>71.682000000000016</v>
      </c>
      <c r="L21" s="689">
        <v>661.95800000000008</v>
      </c>
      <c r="M21" s="688">
        <v>869</v>
      </c>
      <c r="N21" s="688">
        <v>182.35199999999998</v>
      </c>
    </row>
    <row r="22" spans="1:14" ht="15.95" customHeight="1">
      <c r="A22" s="806">
        <v>39082</v>
      </c>
      <c r="B22" s="807">
        <v>25</v>
      </c>
      <c r="C22" s="807">
        <v>28.356999999999999</v>
      </c>
      <c r="D22" s="807">
        <v>69.245999999999995</v>
      </c>
      <c r="E22" s="807">
        <v>50.6</v>
      </c>
      <c r="F22" s="807">
        <v>27.864999999999998</v>
      </c>
      <c r="G22" s="807">
        <v>18.38</v>
      </c>
      <c r="H22" s="807">
        <v>401.524</v>
      </c>
      <c r="I22" s="807">
        <v>15.69</v>
      </c>
      <c r="J22" s="807">
        <v>57.252000000000002</v>
      </c>
      <c r="K22" s="807">
        <v>83.175000000000068</v>
      </c>
      <c r="L22" s="808">
        <v>777.08900000000006</v>
      </c>
      <c r="M22" s="807"/>
      <c r="N22" s="807">
        <v>213.17699999999999</v>
      </c>
    </row>
    <row r="23" spans="1:14" ht="15.95" customHeight="1">
      <c r="A23" s="159">
        <v>39447</v>
      </c>
      <c r="B23" s="688">
        <v>24.221</v>
      </c>
      <c r="C23" s="688">
        <v>27.02</v>
      </c>
      <c r="D23" s="688">
        <v>62.35</v>
      </c>
      <c r="E23" s="688">
        <v>37.4</v>
      </c>
      <c r="F23" s="688">
        <v>24.777000000000001</v>
      </c>
      <c r="G23" s="688">
        <v>16.48</v>
      </c>
      <c r="H23" s="688">
        <v>378.32</v>
      </c>
      <c r="I23" s="688">
        <v>13.67</v>
      </c>
      <c r="J23" s="688">
        <v>52.308999999999997</v>
      </c>
      <c r="K23" s="688">
        <v>81.130000000000109</v>
      </c>
      <c r="L23" s="689">
        <v>717.67700000000002</v>
      </c>
      <c r="M23" s="688"/>
      <c r="N23" s="688">
        <v>270.72200000000004</v>
      </c>
    </row>
    <row r="24" spans="1:14" ht="15.95" customHeight="1">
      <c r="A24" s="806">
        <v>39813</v>
      </c>
      <c r="B24" s="807">
        <v>25.463999999999999</v>
      </c>
      <c r="C24" s="807">
        <v>31.004000000000001</v>
      </c>
      <c r="D24" s="807">
        <v>67.7</v>
      </c>
      <c r="E24" s="807">
        <v>59</v>
      </c>
      <c r="F24" s="807">
        <v>24</v>
      </c>
      <c r="G24" s="807">
        <v>16.709</v>
      </c>
      <c r="H24" s="807">
        <v>387</v>
      </c>
      <c r="I24" s="807">
        <v>15</v>
      </c>
      <c r="J24" s="807">
        <v>56.097999999999999</v>
      </c>
      <c r="K24" s="807">
        <v>90.666200000000003</v>
      </c>
      <c r="L24" s="808">
        <v>772.64119999999991</v>
      </c>
      <c r="M24" s="807">
        <v>989</v>
      </c>
      <c r="N24" s="807">
        <v>300</v>
      </c>
    </row>
    <row r="25" spans="1:14" ht="15.95" customHeight="1">
      <c r="A25" s="162">
        <v>40178</v>
      </c>
      <c r="B25" s="690">
        <v>27.257999999999999</v>
      </c>
      <c r="C25" s="690">
        <v>35.183999999999997</v>
      </c>
      <c r="D25" s="690">
        <v>71.474999999999994</v>
      </c>
      <c r="E25" s="690">
        <v>58</v>
      </c>
      <c r="F25" s="690">
        <v>24</v>
      </c>
      <c r="G25" s="690">
        <v>17.896999999999998</v>
      </c>
      <c r="H25" s="690">
        <v>417.40199999999999</v>
      </c>
      <c r="I25" s="690">
        <v>17.594000000000001</v>
      </c>
      <c r="J25" s="690">
        <v>63.744</v>
      </c>
      <c r="K25" s="690">
        <v>96.608000000000061</v>
      </c>
      <c r="L25" s="691">
        <v>829.16200000000003</v>
      </c>
      <c r="M25" s="690">
        <v>1137</v>
      </c>
      <c r="N25" s="690">
        <v>311</v>
      </c>
    </row>
    <row r="26" spans="1:14" ht="15.95" customHeight="1">
      <c r="A26" s="806">
        <v>40543</v>
      </c>
      <c r="B26" s="807">
        <v>35.057000000000002</v>
      </c>
      <c r="C26" s="807">
        <v>41.366999999999997</v>
      </c>
      <c r="D26" s="807">
        <v>71</v>
      </c>
      <c r="E26" s="807">
        <v>51.34</v>
      </c>
      <c r="F26" s="807">
        <v>25.067</v>
      </c>
      <c r="G26" s="807">
        <v>18.587</v>
      </c>
      <c r="H26" s="807">
        <v>440.58699999999999</v>
      </c>
      <c r="I26" s="807">
        <v>17.399999999999999</v>
      </c>
      <c r="J26" s="807">
        <v>60.518999999999998</v>
      </c>
      <c r="K26" s="807">
        <v>110.10854000000018</v>
      </c>
      <c r="L26" s="808">
        <v>871.03254000000015</v>
      </c>
      <c r="M26" s="807">
        <v>1236</v>
      </c>
      <c r="N26" s="807">
        <v>361.50800000000004</v>
      </c>
    </row>
    <row r="27" spans="1:14" ht="15.95" customHeight="1">
      <c r="A27" s="220">
        <v>2011</v>
      </c>
      <c r="B27" s="692">
        <v>28.960999999999999</v>
      </c>
      <c r="C27" s="692">
        <v>52.09</v>
      </c>
      <c r="D27" s="692">
        <v>68.8</v>
      </c>
      <c r="E27" s="692">
        <v>59.34</v>
      </c>
      <c r="F27" s="692">
        <v>28</v>
      </c>
      <c r="G27" s="692">
        <v>18.646999999999998</v>
      </c>
      <c r="H27" s="692">
        <v>433.61099999999999</v>
      </c>
      <c r="I27" s="692">
        <v>17.655000000000001</v>
      </c>
      <c r="J27" s="692">
        <v>62.723999999999997</v>
      </c>
      <c r="K27" s="692">
        <v>118.4602799999999</v>
      </c>
      <c r="L27" s="693">
        <v>888.28827999999987</v>
      </c>
      <c r="M27" s="688">
        <v>1134</v>
      </c>
      <c r="N27" s="688">
        <v>370.50200000000001</v>
      </c>
    </row>
    <row r="28" spans="1:14" ht="15.95" customHeight="1">
      <c r="A28" s="809">
        <v>2012</v>
      </c>
      <c r="B28" s="807">
        <v>35.091999999999999</v>
      </c>
      <c r="C28" s="807">
        <v>65.340999999999994</v>
      </c>
      <c r="D28" s="807">
        <v>63.4</v>
      </c>
      <c r="E28" s="807">
        <v>77</v>
      </c>
      <c r="F28" s="807">
        <v>25.032</v>
      </c>
      <c r="G28" s="807">
        <v>16.488</v>
      </c>
      <c r="H28" s="807">
        <v>421.31400000000002</v>
      </c>
      <c r="I28" s="807">
        <v>14.44</v>
      </c>
      <c r="J28" s="807">
        <v>58.53</v>
      </c>
      <c r="K28" s="807">
        <v>121.5136399999999</v>
      </c>
      <c r="L28" s="808">
        <v>898.15063999999995</v>
      </c>
      <c r="M28" s="807">
        <v>1348</v>
      </c>
      <c r="N28" s="807">
        <v>418</v>
      </c>
    </row>
    <row r="29" spans="1:14" ht="15.95" customHeight="1">
      <c r="A29" s="220">
        <v>2013</v>
      </c>
      <c r="B29" s="694">
        <v>52.177</v>
      </c>
      <c r="C29" s="694">
        <v>75.620999999999995</v>
      </c>
      <c r="D29" s="694">
        <v>69.37</v>
      </c>
      <c r="E29" s="694">
        <v>84</v>
      </c>
      <c r="F29" s="694">
        <v>26.989000000000001</v>
      </c>
      <c r="G29" s="694">
        <v>17.731000000000002</v>
      </c>
      <c r="H29" s="694">
        <v>425.85700000000003</v>
      </c>
      <c r="I29" s="694">
        <v>13.994999999999999</v>
      </c>
      <c r="J29" s="694">
        <v>55.276000000000003</v>
      </c>
      <c r="K29" s="694">
        <v>164.51740000000018</v>
      </c>
      <c r="L29" s="693">
        <v>985.53340000000014</v>
      </c>
      <c r="M29" s="692">
        <v>1517</v>
      </c>
      <c r="N29" s="692">
        <v>506</v>
      </c>
    </row>
    <row r="30" spans="1:14" ht="15.95" customHeight="1">
      <c r="A30" s="809">
        <v>2014</v>
      </c>
      <c r="B30" s="807">
        <v>57.798999999999999</v>
      </c>
      <c r="C30" s="807">
        <v>85.858000000000004</v>
      </c>
      <c r="D30" s="807">
        <v>68.7</v>
      </c>
      <c r="E30" s="807">
        <v>90.4</v>
      </c>
      <c r="F30" s="807">
        <v>28.05</v>
      </c>
      <c r="G30" s="807">
        <v>18.137</v>
      </c>
      <c r="H30" s="807">
        <v>440</v>
      </c>
      <c r="I30" s="807">
        <v>15.2</v>
      </c>
      <c r="J30" s="807">
        <v>60</v>
      </c>
      <c r="K30" s="807">
        <v>148.3922</v>
      </c>
      <c r="L30" s="808">
        <v>1012.5362000000001</v>
      </c>
      <c r="M30" s="807"/>
      <c r="N30" s="807"/>
    </row>
    <row r="31" spans="1:14" ht="15.95" customHeight="1">
      <c r="A31" s="220"/>
      <c r="B31" s="298"/>
      <c r="C31" s="298"/>
      <c r="D31" s="298"/>
      <c r="E31" s="298"/>
      <c r="F31" s="298"/>
      <c r="G31" s="298"/>
      <c r="H31" s="299"/>
      <c r="I31" s="298"/>
      <c r="J31" s="298"/>
      <c r="K31" s="298"/>
      <c r="L31" s="300"/>
    </row>
    <row r="32" spans="1:14">
      <c r="A32" s="163" t="s">
        <v>55</v>
      </c>
    </row>
    <row r="34" spans="2:13">
      <c r="M34" s="152" t="s">
        <v>68</v>
      </c>
    </row>
    <row r="37" spans="2:13">
      <c r="M37" s="152" t="s">
        <v>68</v>
      </c>
    </row>
    <row r="41" spans="2:13" ht="15">
      <c r="B41" s="297"/>
    </row>
  </sheetData>
  <hyperlinks>
    <hyperlink ref="A1" location="Innehåll!A1" display="Innehåll"/>
  </hyperlinks>
  <pageMargins left="0.70866141732283472" right="0.70866141732283472" top="0.74803149606299213" bottom="0.74803149606299213" header="0.31496062992125984" footer="0.31496062992125984"/>
  <pageSetup paperSize="9" scale="63" orientation="landscape" r:id="rId1"/>
  <headerFooter scaleWithDoc="0">
    <oddHeader>&amp;L&amp;G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theme="0"/>
  </sheetPr>
  <dimension ref="A1:CB64"/>
  <sheetViews>
    <sheetView zoomScaleNormal="100" workbookViewId="0">
      <pane ySplit="6" topLeftCell="A7" activePane="bottomLeft" state="frozen"/>
      <selection pane="bottomLeft" activeCell="B1" sqref="B1"/>
    </sheetView>
  </sheetViews>
  <sheetFormatPr defaultRowHeight="11.65"/>
  <cols>
    <col min="1" max="1" width="8.1328125" style="372" customWidth="1"/>
    <col min="2" max="7" width="12.73046875" style="338" customWidth="1"/>
    <col min="8" max="18" width="8.59765625" style="338" customWidth="1"/>
    <col min="19" max="19" width="10.1328125" style="338" customWidth="1"/>
    <col min="20" max="20" width="8.3984375" style="338" customWidth="1"/>
    <col min="21" max="24" width="6.73046875" style="338" customWidth="1"/>
    <col min="25" max="256" width="9.1328125" style="338"/>
    <col min="257" max="257" width="60.73046875" style="338" customWidth="1"/>
    <col min="258" max="274" width="8.59765625" style="338" customWidth="1"/>
    <col min="275" max="275" width="10.1328125" style="338" customWidth="1"/>
    <col min="276" max="276" width="8.3984375" style="338" customWidth="1"/>
    <col min="277" max="280" width="6.73046875" style="338" customWidth="1"/>
    <col min="281" max="512" width="9.1328125" style="338"/>
    <col min="513" max="513" width="60.73046875" style="338" customWidth="1"/>
    <col min="514" max="530" width="8.59765625" style="338" customWidth="1"/>
    <col min="531" max="531" width="10.1328125" style="338" customWidth="1"/>
    <col min="532" max="532" width="8.3984375" style="338" customWidth="1"/>
    <col min="533" max="536" width="6.73046875" style="338" customWidth="1"/>
    <col min="537" max="768" width="9.1328125" style="338"/>
    <col min="769" max="769" width="60.73046875" style="338" customWidth="1"/>
    <col min="770" max="786" width="8.59765625" style="338" customWidth="1"/>
    <col min="787" max="787" width="10.1328125" style="338" customWidth="1"/>
    <col min="788" max="788" width="8.3984375" style="338" customWidth="1"/>
    <col min="789" max="792" width="6.73046875" style="338" customWidth="1"/>
    <col min="793" max="1024" width="9.1328125" style="338"/>
    <col min="1025" max="1025" width="60.73046875" style="338" customWidth="1"/>
    <col min="1026" max="1042" width="8.59765625" style="338" customWidth="1"/>
    <col min="1043" max="1043" width="10.1328125" style="338" customWidth="1"/>
    <col min="1044" max="1044" width="8.3984375" style="338" customWidth="1"/>
    <col min="1045" max="1048" width="6.73046875" style="338" customWidth="1"/>
    <col min="1049" max="1280" width="9.1328125" style="338"/>
    <col min="1281" max="1281" width="60.73046875" style="338" customWidth="1"/>
    <col min="1282" max="1298" width="8.59765625" style="338" customWidth="1"/>
    <col min="1299" max="1299" width="10.1328125" style="338" customWidth="1"/>
    <col min="1300" max="1300" width="8.3984375" style="338" customWidth="1"/>
    <col min="1301" max="1304" width="6.73046875" style="338" customWidth="1"/>
    <col min="1305" max="1536" width="9.1328125" style="338"/>
    <col min="1537" max="1537" width="60.73046875" style="338" customWidth="1"/>
    <col min="1538" max="1554" width="8.59765625" style="338" customWidth="1"/>
    <col min="1555" max="1555" width="10.1328125" style="338" customWidth="1"/>
    <col min="1556" max="1556" width="8.3984375" style="338" customWidth="1"/>
    <col min="1557" max="1560" width="6.73046875" style="338" customWidth="1"/>
    <col min="1561" max="1792" width="9.1328125" style="338"/>
    <col min="1793" max="1793" width="60.73046875" style="338" customWidth="1"/>
    <col min="1794" max="1810" width="8.59765625" style="338" customWidth="1"/>
    <col min="1811" max="1811" width="10.1328125" style="338" customWidth="1"/>
    <col min="1812" max="1812" width="8.3984375" style="338" customWidth="1"/>
    <col min="1813" max="1816" width="6.73046875" style="338" customWidth="1"/>
    <col min="1817" max="2048" width="9.1328125" style="338"/>
    <col min="2049" max="2049" width="60.73046875" style="338" customWidth="1"/>
    <col min="2050" max="2066" width="8.59765625" style="338" customWidth="1"/>
    <col min="2067" max="2067" width="10.1328125" style="338" customWidth="1"/>
    <col min="2068" max="2068" width="8.3984375" style="338" customWidth="1"/>
    <col min="2069" max="2072" width="6.73046875" style="338" customWidth="1"/>
    <col min="2073" max="2304" width="9.1328125" style="338"/>
    <col min="2305" max="2305" width="60.73046875" style="338" customWidth="1"/>
    <col min="2306" max="2322" width="8.59765625" style="338" customWidth="1"/>
    <col min="2323" max="2323" width="10.1328125" style="338" customWidth="1"/>
    <col min="2324" max="2324" width="8.3984375" style="338" customWidth="1"/>
    <col min="2325" max="2328" width="6.73046875" style="338" customWidth="1"/>
    <col min="2329" max="2560" width="9.1328125" style="338"/>
    <col min="2561" max="2561" width="60.73046875" style="338" customWidth="1"/>
    <col min="2562" max="2578" width="8.59765625" style="338" customWidth="1"/>
    <col min="2579" max="2579" width="10.1328125" style="338" customWidth="1"/>
    <col min="2580" max="2580" width="8.3984375" style="338" customWidth="1"/>
    <col min="2581" max="2584" width="6.73046875" style="338" customWidth="1"/>
    <col min="2585" max="2816" width="9.1328125" style="338"/>
    <col min="2817" max="2817" width="60.73046875" style="338" customWidth="1"/>
    <col min="2818" max="2834" width="8.59765625" style="338" customWidth="1"/>
    <col min="2835" max="2835" width="10.1328125" style="338" customWidth="1"/>
    <col min="2836" max="2836" width="8.3984375" style="338" customWidth="1"/>
    <col min="2837" max="2840" width="6.73046875" style="338" customWidth="1"/>
    <col min="2841" max="3072" width="9.1328125" style="338"/>
    <col min="3073" max="3073" width="60.73046875" style="338" customWidth="1"/>
    <col min="3074" max="3090" width="8.59765625" style="338" customWidth="1"/>
    <col min="3091" max="3091" width="10.1328125" style="338" customWidth="1"/>
    <col min="3092" max="3092" width="8.3984375" style="338" customWidth="1"/>
    <col min="3093" max="3096" width="6.73046875" style="338" customWidth="1"/>
    <col min="3097" max="3328" width="9.1328125" style="338"/>
    <col min="3329" max="3329" width="60.73046875" style="338" customWidth="1"/>
    <col min="3330" max="3346" width="8.59765625" style="338" customWidth="1"/>
    <col min="3347" max="3347" width="10.1328125" style="338" customWidth="1"/>
    <col min="3348" max="3348" width="8.3984375" style="338" customWidth="1"/>
    <col min="3349" max="3352" width="6.73046875" style="338" customWidth="1"/>
    <col min="3353" max="3584" width="9.1328125" style="338"/>
    <col min="3585" max="3585" width="60.73046875" style="338" customWidth="1"/>
    <col min="3586" max="3602" width="8.59765625" style="338" customWidth="1"/>
    <col min="3603" max="3603" width="10.1328125" style="338" customWidth="1"/>
    <col min="3604" max="3604" width="8.3984375" style="338" customWidth="1"/>
    <col min="3605" max="3608" width="6.73046875" style="338" customWidth="1"/>
    <col min="3609" max="3840" width="9.1328125" style="338"/>
    <col min="3841" max="3841" width="60.73046875" style="338" customWidth="1"/>
    <col min="3842" max="3858" width="8.59765625" style="338" customWidth="1"/>
    <col min="3859" max="3859" width="10.1328125" style="338" customWidth="1"/>
    <col min="3860" max="3860" width="8.3984375" style="338" customWidth="1"/>
    <col min="3861" max="3864" width="6.73046875" style="338" customWidth="1"/>
    <col min="3865" max="4096" width="9.1328125" style="338"/>
    <col min="4097" max="4097" width="60.73046875" style="338" customWidth="1"/>
    <col min="4098" max="4114" width="8.59765625" style="338" customWidth="1"/>
    <col min="4115" max="4115" width="10.1328125" style="338" customWidth="1"/>
    <col min="4116" max="4116" width="8.3984375" style="338" customWidth="1"/>
    <col min="4117" max="4120" width="6.73046875" style="338" customWidth="1"/>
    <col min="4121" max="4352" width="9.1328125" style="338"/>
    <col min="4353" max="4353" width="60.73046875" style="338" customWidth="1"/>
    <col min="4354" max="4370" width="8.59765625" style="338" customWidth="1"/>
    <col min="4371" max="4371" width="10.1328125" style="338" customWidth="1"/>
    <col min="4372" max="4372" width="8.3984375" style="338" customWidth="1"/>
    <col min="4373" max="4376" width="6.73046875" style="338" customWidth="1"/>
    <col min="4377" max="4608" width="9.1328125" style="338"/>
    <col min="4609" max="4609" width="60.73046875" style="338" customWidth="1"/>
    <col min="4610" max="4626" width="8.59765625" style="338" customWidth="1"/>
    <col min="4627" max="4627" width="10.1328125" style="338" customWidth="1"/>
    <col min="4628" max="4628" width="8.3984375" style="338" customWidth="1"/>
    <col min="4629" max="4632" width="6.73046875" style="338" customWidth="1"/>
    <col min="4633" max="4864" width="9.1328125" style="338"/>
    <col min="4865" max="4865" width="60.73046875" style="338" customWidth="1"/>
    <col min="4866" max="4882" width="8.59765625" style="338" customWidth="1"/>
    <col min="4883" max="4883" width="10.1328125" style="338" customWidth="1"/>
    <col min="4884" max="4884" width="8.3984375" style="338" customWidth="1"/>
    <col min="4885" max="4888" width="6.73046875" style="338" customWidth="1"/>
    <col min="4889" max="5120" width="9.1328125" style="338"/>
    <col min="5121" max="5121" width="60.73046875" style="338" customWidth="1"/>
    <col min="5122" max="5138" width="8.59765625" style="338" customWidth="1"/>
    <col min="5139" max="5139" width="10.1328125" style="338" customWidth="1"/>
    <col min="5140" max="5140" width="8.3984375" style="338" customWidth="1"/>
    <col min="5141" max="5144" width="6.73046875" style="338" customWidth="1"/>
    <col min="5145" max="5376" width="9.1328125" style="338"/>
    <col min="5377" max="5377" width="60.73046875" style="338" customWidth="1"/>
    <col min="5378" max="5394" width="8.59765625" style="338" customWidth="1"/>
    <col min="5395" max="5395" width="10.1328125" style="338" customWidth="1"/>
    <col min="5396" max="5396" width="8.3984375" style="338" customWidth="1"/>
    <col min="5397" max="5400" width="6.73046875" style="338" customWidth="1"/>
    <col min="5401" max="5632" width="9.1328125" style="338"/>
    <col min="5633" max="5633" width="60.73046875" style="338" customWidth="1"/>
    <col min="5634" max="5650" width="8.59765625" style="338" customWidth="1"/>
    <col min="5651" max="5651" width="10.1328125" style="338" customWidth="1"/>
    <col min="5652" max="5652" width="8.3984375" style="338" customWidth="1"/>
    <col min="5653" max="5656" width="6.73046875" style="338" customWidth="1"/>
    <col min="5657" max="5888" width="9.1328125" style="338"/>
    <col min="5889" max="5889" width="60.73046875" style="338" customWidth="1"/>
    <col min="5890" max="5906" width="8.59765625" style="338" customWidth="1"/>
    <col min="5907" max="5907" width="10.1328125" style="338" customWidth="1"/>
    <col min="5908" max="5908" width="8.3984375" style="338" customWidth="1"/>
    <col min="5909" max="5912" width="6.73046875" style="338" customWidth="1"/>
    <col min="5913" max="6144" width="9.1328125" style="338"/>
    <col min="6145" max="6145" width="60.73046875" style="338" customWidth="1"/>
    <col min="6146" max="6162" width="8.59765625" style="338" customWidth="1"/>
    <col min="6163" max="6163" width="10.1328125" style="338" customWidth="1"/>
    <col min="6164" max="6164" width="8.3984375" style="338" customWidth="1"/>
    <col min="6165" max="6168" width="6.73046875" style="338" customWidth="1"/>
    <col min="6169" max="6400" width="9.1328125" style="338"/>
    <col min="6401" max="6401" width="60.73046875" style="338" customWidth="1"/>
    <col min="6402" max="6418" width="8.59765625" style="338" customWidth="1"/>
    <col min="6419" max="6419" width="10.1328125" style="338" customWidth="1"/>
    <col min="6420" max="6420" width="8.3984375" style="338" customWidth="1"/>
    <col min="6421" max="6424" width="6.73046875" style="338" customWidth="1"/>
    <col min="6425" max="6656" width="9.1328125" style="338"/>
    <col min="6657" max="6657" width="60.73046875" style="338" customWidth="1"/>
    <col min="6658" max="6674" width="8.59765625" style="338" customWidth="1"/>
    <col min="6675" max="6675" width="10.1328125" style="338" customWidth="1"/>
    <col min="6676" max="6676" width="8.3984375" style="338" customWidth="1"/>
    <col min="6677" max="6680" width="6.73046875" style="338" customWidth="1"/>
    <col min="6681" max="6912" width="9.1328125" style="338"/>
    <col min="6913" max="6913" width="60.73046875" style="338" customWidth="1"/>
    <col min="6914" max="6930" width="8.59765625" style="338" customWidth="1"/>
    <col min="6931" max="6931" width="10.1328125" style="338" customWidth="1"/>
    <col min="6932" max="6932" width="8.3984375" style="338" customWidth="1"/>
    <col min="6933" max="6936" width="6.73046875" style="338" customWidth="1"/>
    <col min="6937" max="7168" width="9.1328125" style="338"/>
    <col min="7169" max="7169" width="60.73046875" style="338" customWidth="1"/>
    <col min="7170" max="7186" width="8.59765625" style="338" customWidth="1"/>
    <col min="7187" max="7187" width="10.1328125" style="338" customWidth="1"/>
    <col min="7188" max="7188" width="8.3984375" style="338" customWidth="1"/>
    <col min="7189" max="7192" width="6.73046875" style="338" customWidth="1"/>
    <col min="7193" max="7424" width="9.1328125" style="338"/>
    <col min="7425" max="7425" width="60.73046875" style="338" customWidth="1"/>
    <col min="7426" max="7442" width="8.59765625" style="338" customWidth="1"/>
    <col min="7443" max="7443" width="10.1328125" style="338" customWidth="1"/>
    <col min="7444" max="7444" width="8.3984375" style="338" customWidth="1"/>
    <col min="7445" max="7448" width="6.73046875" style="338" customWidth="1"/>
    <col min="7449" max="7680" width="9.1328125" style="338"/>
    <col min="7681" max="7681" width="60.73046875" style="338" customWidth="1"/>
    <col min="7682" max="7698" width="8.59765625" style="338" customWidth="1"/>
    <col min="7699" max="7699" width="10.1328125" style="338" customWidth="1"/>
    <col min="7700" max="7700" width="8.3984375" style="338" customWidth="1"/>
    <col min="7701" max="7704" width="6.73046875" style="338" customWidth="1"/>
    <col min="7705" max="7936" width="9.1328125" style="338"/>
    <col min="7937" max="7937" width="60.73046875" style="338" customWidth="1"/>
    <col min="7938" max="7954" width="8.59765625" style="338" customWidth="1"/>
    <col min="7955" max="7955" width="10.1328125" style="338" customWidth="1"/>
    <col min="7956" max="7956" width="8.3984375" style="338" customWidth="1"/>
    <col min="7957" max="7960" width="6.73046875" style="338" customWidth="1"/>
    <col min="7961" max="8192" width="9.1328125" style="338"/>
    <col min="8193" max="8193" width="60.73046875" style="338" customWidth="1"/>
    <col min="8194" max="8210" width="8.59765625" style="338" customWidth="1"/>
    <col min="8211" max="8211" width="10.1328125" style="338" customWidth="1"/>
    <col min="8212" max="8212" width="8.3984375" style="338" customWidth="1"/>
    <col min="8213" max="8216" width="6.73046875" style="338" customWidth="1"/>
    <col min="8217" max="8448" width="9.1328125" style="338"/>
    <col min="8449" max="8449" width="60.73046875" style="338" customWidth="1"/>
    <col min="8450" max="8466" width="8.59765625" style="338" customWidth="1"/>
    <col min="8467" max="8467" width="10.1328125" style="338" customWidth="1"/>
    <col min="8468" max="8468" width="8.3984375" style="338" customWidth="1"/>
    <col min="8469" max="8472" width="6.73046875" style="338" customWidth="1"/>
    <col min="8473" max="8704" width="9.1328125" style="338"/>
    <col min="8705" max="8705" width="60.73046875" style="338" customWidth="1"/>
    <col min="8706" max="8722" width="8.59765625" style="338" customWidth="1"/>
    <col min="8723" max="8723" width="10.1328125" style="338" customWidth="1"/>
    <col min="8724" max="8724" width="8.3984375" style="338" customWidth="1"/>
    <col min="8725" max="8728" width="6.73046875" style="338" customWidth="1"/>
    <col min="8729" max="8960" width="9.1328125" style="338"/>
    <col min="8961" max="8961" width="60.73046875" style="338" customWidth="1"/>
    <col min="8962" max="8978" width="8.59765625" style="338" customWidth="1"/>
    <col min="8979" max="8979" width="10.1328125" style="338" customWidth="1"/>
    <col min="8980" max="8980" width="8.3984375" style="338" customWidth="1"/>
    <col min="8981" max="8984" width="6.73046875" style="338" customWidth="1"/>
    <col min="8985" max="9216" width="9.1328125" style="338"/>
    <col min="9217" max="9217" width="60.73046875" style="338" customWidth="1"/>
    <col min="9218" max="9234" width="8.59765625" style="338" customWidth="1"/>
    <col min="9235" max="9235" width="10.1328125" style="338" customWidth="1"/>
    <col min="9236" max="9236" width="8.3984375" style="338" customWidth="1"/>
    <col min="9237" max="9240" width="6.73046875" style="338" customWidth="1"/>
    <col min="9241" max="9472" width="9.1328125" style="338"/>
    <col min="9473" max="9473" width="60.73046875" style="338" customWidth="1"/>
    <col min="9474" max="9490" width="8.59765625" style="338" customWidth="1"/>
    <col min="9491" max="9491" width="10.1328125" style="338" customWidth="1"/>
    <col min="9492" max="9492" width="8.3984375" style="338" customWidth="1"/>
    <col min="9493" max="9496" width="6.73046875" style="338" customWidth="1"/>
    <col min="9497" max="9728" width="9.1328125" style="338"/>
    <col min="9729" max="9729" width="60.73046875" style="338" customWidth="1"/>
    <col min="9730" max="9746" width="8.59765625" style="338" customWidth="1"/>
    <col min="9747" max="9747" width="10.1328125" style="338" customWidth="1"/>
    <col min="9748" max="9748" width="8.3984375" style="338" customWidth="1"/>
    <col min="9749" max="9752" width="6.73046875" style="338" customWidth="1"/>
    <col min="9753" max="9984" width="9.1328125" style="338"/>
    <col min="9985" max="9985" width="60.73046875" style="338" customWidth="1"/>
    <col min="9986" max="10002" width="8.59765625" style="338" customWidth="1"/>
    <col min="10003" max="10003" width="10.1328125" style="338" customWidth="1"/>
    <col min="10004" max="10004" width="8.3984375" style="338" customWidth="1"/>
    <col min="10005" max="10008" width="6.73046875" style="338" customWidth="1"/>
    <col min="10009" max="10240" width="9.1328125" style="338"/>
    <col min="10241" max="10241" width="60.73046875" style="338" customWidth="1"/>
    <col min="10242" max="10258" width="8.59765625" style="338" customWidth="1"/>
    <col min="10259" max="10259" width="10.1328125" style="338" customWidth="1"/>
    <col min="10260" max="10260" width="8.3984375" style="338" customWidth="1"/>
    <col min="10261" max="10264" width="6.73046875" style="338" customWidth="1"/>
    <col min="10265" max="10496" width="9.1328125" style="338"/>
    <col min="10497" max="10497" width="60.73046875" style="338" customWidth="1"/>
    <col min="10498" max="10514" width="8.59765625" style="338" customWidth="1"/>
    <col min="10515" max="10515" width="10.1328125" style="338" customWidth="1"/>
    <col min="10516" max="10516" width="8.3984375" style="338" customWidth="1"/>
    <col min="10517" max="10520" width="6.73046875" style="338" customWidth="1"/>
    <col min="10521" max="10752" width="9.1328125" style="338"/>
    <col min="10753" max="10753" width="60.73046875" style="338" customWidth="1"/>
    <col min="10754" max="10770" width="8.59765625" style="338" customWidth="1"/>
    <col min="10771" max="10771" width="10.1328125" style="338" customWidth="1"/>
    <col min="10772" max="10772" width="8.3984375" style="338" customWidth="1"/>
    <col min="10773" max="10776" width="6.73046875" style="338" customWidth="1"/>
    <col min="10777" max="11008" width="9.1328125" style="338"/>
    <col min="11009" max="11009" width="60.73046875" style="338" customWidth="1"/>
    <col min="11010" max="11026" width="8.59765625" style="338" customWidth="1"/>
    <col min="11027" max="11027" width="10.1328125" style="338" customWidth="1"/>
    <col min="11028" max="11028" width="8.3984375" style="338" customWidth="1"/>
    <col min="11029" max="11032" width="6.73046875" style="338" customWidth="1"/>
    <col min="11033" max="11264" width="9.1328125" style="338"/>
    <col min="11265" max="11265" width="60.73046875" style="338" customWidth="1"/>
    <col min="11266" max="11282" width="8.59765625" style="338" customWidth="1"/>
    <col min="11283" max="11283" width="10.1328125" style="338" customWidth="1"/>
    <col min="11284" max="11284" width="8.3984375" style="338" customWidth="1"/>
    <col min="11285" max="11288" width="6.73046875" style="338" customWidth="1"/>
    <col min="11289" max="11520" width="9.1328125" style="338"/>
    <col min="11521" max="11521" width="60.73046875" style="338" customWidth="1"/>
    <col min="11522" max="11538" width="8.59765625" style="338" customWidth="1"/>
    <col min="11539" max="11539" width="10.1328125" style="338" customWidth="1"/>
    <col min="11540" max="11540" width="8.3984375" style="338" customWidth="1"/>
    <col min="11541" max="11544" width="6.73046875" style="338" customWidth="1"/>
    <col min="11545" max="11776" width="9.1328125" style="338"/>
    <col min="11777" max="11777" width="60.73046875" style="338" customWidth="1"/>
    <col min="11778" max="11794" width="8.59765625" style="338" customWidth="1"/>
    <col min="11795" max="11795" width="10.1328125" style="338" customWidth="1"/>
    <col min="11796" max="11796" width="8.3984375" style="338" customWidth="1"/>
    <col min="11797" max="11800" width="6.73046875" style="338" customWidth="1"/>
    <col min="11801" max="12032" width="9.1328125" style="338"/>
    <col min="12033" max="12033" width="60.73046875" style="338" customWidth="1"/>
    <col min="12034" max="12050" width="8.59765625" style="338" customWidth="1"/>
    <col min="12051" max="12051" width="10.1328125" style="338" customWidth="1"/>
    <col min="12052" max="12052" width="8.3984375" style="338" customWidth="1"/>
    <col min="12053" max="12056" width="6.73046875" style="338" customWidth="1"/>
    <col min="12057" max="12288" width="9.1328125" style="338"/>
    <col min="12289" max="12289" width="60.73046875" style="338" customWidth="1"/>
    <col min="12290" max="12306" width="8.59765625" style="338" customWidth="1"/>
    <col min="12307" max="12307" width="10.1328125" style="338" customWidth="1"/>
    <col min="12308" max="12308" width="8.3984375" style="338" customWidth="1"/>
    <col min="12309" max="12312" width="6.73046875" style="338" customWidth="1"/>
    <col min="12313" max="12544" width="9.1328125" style="338"/>
    <col min="12545" max="12545" width="60.73046875" style="338" customWidth="1"/>
    <col min="12546" max="12562" width="8.59765625" style="338" customWidth="1"/>
    <col min="12563" max="12563" width="10.1328125" style="338" customWidth="1"/>
    <col min="12564" max="12564" width="8.3984375" style="338" customWidth="1"/>
    <col min="12565" max="12568" width="6.73046875" style="338" customWidth="1"/>
    <col min="12569" max="12800" width="9.1328125" style="338"/>
    <col min="12801" max="12801" width="60.73046875" style="338" customWidth="1"/>
    <col min="12802" max="12818" width="8.59765625" style="338" customWidth="1"/>
    <col min="12819" max="12819" width="10.1328125" style="338" customWidth="1"/>
    <col min="12820" max="12820" width="8.3984375" style="338" customWidth="1"/>
    <col min="12821" max="12824" width="6.73046875" style="338" customWidth="1"/>
    <col min="12825" max="13056" width="9.1328125" style="338"/>
    <col min="13057" max="13057" width="60.73046875" style="338" customWidth="1"/>
    <col min="13058" max="13074" width="8.59765625" style="338" customWidth="1"/>
    <col min="13075" max="13075" width="10.1328125" style="338" customWidth="1"/>
    <col min="13076" max="13076" width="8.3984375" style="338" customWidth="1"/>
    <col min="13077" max="13080" width="6.73046875" style="338" customWidth="1"/>
    <col min="13081" max="13312" width="9.1328125" style="338"/>
    <col min="13313" max="13313" width="60.73046875" style="338" customWidth="1"/>
    <col min="13314" max="13330" width="8.59765625" style="338" customWidth="1"/>
    <col min="13331" max="13331" width="10.1328125" style="338" customWidth="1"/>
    <col min="13332" max="13332" width="8.3984375" style="338" customWidth="1"/>
    <col min="13333" max="13336" width="6.73046875" style="338" customWidth="1"/>
    <col min="13337" max="13568" width="9.1328125" style="338"/>
    <col min="13569" max="13569" width="60.73046875" style="338" customWidth="1"/>
    <col min="13570" max="13586" width="8.59765625" style="338" customWidth="1"/>
    <col min="13587" max="13587" width="10.1328125" style="338" customWidth="1"/>
    <col min="13588" max="13588" width="8.3984375" style="338" customWidth="1"/>
    <col min="13589" max="13592" width="6.73046875" style="338" customWidth="1"/>
    <col min="13593" max="13824" width="9.1328125" style="338"/>
    <col min="13825" max="13825" width="60.73046875" style="338" customWidth="1"/>
    <col min="13826" max="13842" width="8.59765625" style="338" customWidth="1"/>
    <col min="13843" max="13843" width="10.1328125" style="338" customWidth="1"/>
    <col min="13844" max="13844" width="8.3984375" style="338" customWidth="1"/>
    <col min="13845" max="13848" width="6.73046875" style="338" customWidth="1"/>
    <col min="13849" max="14080" width="9.1328125" style="338"/>
    <col min="14081" max="14081" width="60.73046875" style="338" customWidth="1"/>
    <col min="14082" max="14098" width="8.59765625" style="338" customWidth="1"/>
    <col min="14099" max="14099" width="10.1328125" style="338" customWidth="1"/>
    <col min="14100" max="14100" width="8.3984375" style="338" customWidth="1"/>
    <col min="14101" max="14104" width="6.73046875" style="338" customWidth="1"/>
    <col min="14105" max="14336" width="9.1328125" style="338"/>
    <col min="14337" max="14337" width="60.73046875" style="338" customWidth="1"/>
    <col min="14338" max="14354" width="8.59765625" style="338" customWidth="1"/>
    <col min="14355" max="14355" width="10.1328125" style="338" customWidth="1"/>
    <col min="14356" max="14356" width="8.3984375" style="338" customWidth="1"/>
    <col min="14357" max="14360" width="6.73046875" style="338" customWidth="1"/>
    <col min="14361" max="14592" width="9.1328125" style="338"/>
    <col min="14593" max="14593" width="60.73046875" style="338" customWidth="1"/>
    <col min="14594" max="14610" width="8.59765625" style="338" customWidth="1"/>
    <col min="14611" max="14611" width="10.1328125" style="338" customWidth="1"/>
    <col min="14612" max="14612" width="8.3984375" style="338" customWidth="1"/>
    <col min="14613" max="14616" width="6.73046875" style="338" customWidth="1"/>
    <col min="14617" max="14848" width="9.1328125" style="338"/>
    <col min="14849" max="14849" width="60.73046875" style="338" customWidth="1"/>
    <col min="14850" max="14866" width="8.59765625" style="338" customWidth="1"/>
    <col min="14867" max="14867" width="10.1328125" style="338" customWidth="1"/>
    <col min="14868" max="14868" width="8.3984375" style="338" customWidth="1"/>
    <col min="14869" max="14872" width="6.73046875" style="338" customWidth="1"/>
    <col min="14873" max="15104" width="9.1328125" style="338"/>
    <col min="15105" max="15105" width="60.73046875" style="338" customWidth="1"/>
    <col min="15106" max="15122" width="8.59765625" style="338" customWidth="1"/>
    <col min="15123" max="15123" width="10.1328125" style="338" customWidth="1"/>
    <col min="15124" max="15124" width="8.3984375" style="338" customWidth="1"/>
    <col min="15125" max="15128" width="6.73046875" style="338" customWidth="1"/>
    <col min="15129" max="15360" width="9.1328125" style="338"/>
    <col min="15361" max="15361" width="60.73046875" style="338" customWidth="1"/>
    <col min="15362" max="15378" width="8.59765625" style="338" customWidth="1"/>
    <col min="15379" max="15379" width="10.1328125" style="338" customWidth="1"/>
    <col min="15380" max="15380" width="8.3984375" style="338" customWidth="1"/>
    <col min="15381" max="15384" width="6.73046875" style="338" customWidth="1"/>
    <col min="15385" max="15616" width="9.1328125" style="338"/>
    <col min="15617" max="15617" width="60.73046875" style="338" customWidth="1"/>
    <col min="15618" max="15634" width="8.59765625" style="338" customWidth="1"/>
    <col min="15635" max="15635" width="10.1328125" style="338" customWidth="1"/>
    <col min="15636" max="15636" width="8.3984375" style="338" customWidth="1"/>
    <col min="15637" max="15640" width="6.73046875" style="338" customWidth="1"/>
    <col min="15641" max="15872" width="9.1328125" style="338"/>
    <col min="15873" max="15873" width="60.73046875" style="338" customWidth="1"/>
    <col min="15874" max="15890" width="8.59765625" style="338" customWidth="1"/>
    <col min="15891" max="15891" width="10.1328125" style="338" customWidth="1"/>
    <col min="15892" max="15892" width="8.3984375" style="338" customWidth="1"/>
    <col min="15893" max="15896" width="6.73046875" style="338" customWidth="1"/>
    <col min="15897" max="16128" width="9.1328125" style="338"/>
    <col min="16129" max="16129" width="60.73046875" style="338" customWidth="1"/>
    <col min="16130" max="16146" width="8.59765625" style="338" customWidth="1"/>
    <col min="16147" max="16147" width="10.1328125" style="338" customWidth="1"/>
    <col min="16148" max="16148" width="8.3984375" style="338" customWidth="1"/>
    <col min="16149" max="16152" width="6.73046875" style="338" customWidth="1"/>
    <col min="16153" max="16384" width="9.1328125" style="338"/>
  </cols>
  <sheetData>
    <row r="1" spans="1:22" ht="15.95" customHeight="1">
      <c r="A1" s="524" t="str">
        <f>IF(språk=lista[[#Headers],[Svenska]],"Innehåll",IF(språk=lista[[#Headers],[English]],"Contents","FEL"))</f>
        <v>Contents</v>
      </c>
    </row>
    <row r="2" spans="1:22" ht="15.95" customHeight="1"/>
    <row r="3" spans="1:22" s="333" customFormat="1" ht="15.95" customHeight="1">
      <c r="A3" s="317" t="str">
        <f>IFERROR(INDEX(lista[],MATCH($A5,lista[ID],0),MATCH(språk,lista[#Headers],0)),"")</f>
        <v>Use of biomass, per sector, from 1983, TWh</v>
      </c>
      <c r="H3" s="347"/>
      <c r="I3" s="347"/>
      <c r="J3" s="347"/>
      <c r="K3" s="347"/>
      <c r="L3" s="347"/>
    </row>
    <row r="4" spans="1:22" s="333" customFormat="1" ht="15.95" customHeight="1">
      <c r="A4" s="151"/>
    </row>
    <row r="5" spans="1:22" s="333" customFormat="1" ht="15.95" hidden="1" customHeight="1">
      <c r="A5" s="333">
        <v>54</v>
      </c>
      <c r="B5" s="333" t="s">
        <v>647</v>
      </c>
      <c r="C5" s="333" t="s">
        <v>648</v>
      </c>
      <c r="D5" s="333" t="s">
        <v>649</v>
      </c>
      <c r="E5" s="333" t="s">
        <v>650</v>
      </c>
      <c r="F5" s="333" t="s">
        <v>651</v>
      </c>
    </row>
    <row r="6" spans="1:22" s="333" customFormat="1" ht="26.25">
      <c r="A6" s="128"/>
      <c r="B6" s="129" t="str">
        <f>IFERROR(INDEX(_8.1[],MATCH(språk,_8.1[[id]:[id]],0),MATCH(B$5,_8.1[#Headers],0)),"")</f>
        <v>Electricity production</v>
      </c>
      <c r="C6" s="129" t="str">
        <f>IFERROR(INDEX(_8.1[],MATCH(språk,_8.1[[id]:[id]],0),MATCH(C$5,_8.1[#Headers],0)),"")</f>
        <v>District heating</v>
      </c>
      <c r="D6" s="129" t="str">
        <f>IFERROR(INDEX(_8.1[],MATCH(språk,_8.1[[id]:[id]],0),MATCH(D$5,_8.1[#Headers],0)),"")</f>
        <v>Industry</v>
      </c>
      <c r="E6" s="129" t="str">
        <f>IFERROR(INDEX(_8.1[],MATCH(språk,_8.1[[id]:[id]],0),MATCH(E$5,_8.1[#Headers],0)),"")</f>
        <v>Transport</v>
      </c>
      <c r="F6" s="129" t="str">
        <f>IFERROR(INDEX(_8.1[],MATCH(språk,_8.1[[id]:[id]],0),MATCH(F$5,_8.1[#Headers],0)),"")</f>
        <v>Residential and services</v>
      </c>
      <c r="G6" s="235" t="str">
        <f>IF(språk=lista[[#Headers],[Svenska]],"Totalt",IF(språk=lista[[#Headers],[English]],"Total","FEL"))</f>
        <v>Total</v>
      </c>
    </row>
    <row r="7" spans="1:22" s="333" customFormat="1" ht="15.95" customHeight="1">
      <c r="A7" s="144">
        <v>1983</v>
      </c>
      <c r="B7" s="160">
        <v>1.9732809605393282</v>
      </c>
      <c r="C7" s="160">
        <v>2.3512261530049803</v>
      </c>
      <c r="D7" s="160">
        <v>36.971769999999999</v>
      </c>
      <c r="E7" s="160">
        <v>0</v>
      </c>
      <c r="F7" s="160">
        <v>10.449444444444444</v>
      </c>
      <c r="G7" s="161">
        <v>51.745721557988752</v>
      </c>
    </row>
    <row r="8" spans="1:22" s="297" customFormat="1" ht="15.95" customHeight="1">
      <c r="A8" s="802">
        <v>1984</v>
      </c>
      <c r="B8" s="801">
        <v>2.5928811772266336</v>
      </c>
      <c r="C8" s="801">
        <v>2.8470007495729179</v>
      </c>
      <c r="D8" s="801">
        <v>40.27469</v>
      </c>
      <c r="E8" s="801">
        <v>0</v>
      </c>
      <c r="F8" s="801">
        <v>11.860277777777778</v>
      </c>
      <c r="G8" s="810">
        <v>57.574849704577332</v>
      </c>
    </row>
    <row r="9" spans="1:22" s="297" customFormat="1" ht="15.95" customHeight="1">
      <c r="A9" s="144">
        <v>1985</v>
      </c>
      <c r="B9" s="160">
        <v>2.2249500732995879</v>
      </c>
      <c r="C9" s="160">
        <v>3.8519795774922883</v>
      </c>
      <c r="D9" s="160">
        <v>40.774780000000007</v>
      </c>
      <c r="E9" s="160">
        <v>0</v>
      </c>
      <c r="F9" s="160">
        <v>13.760833333333332</v>
      </c>
      <c r="G9" s="161">
        <v>60.612542984125213</v>
      </c>
      <c r="H9" s="377"/>
      <c r="I9" s="377"/>
      <c r="J9" s="377"/>
      <c r="K9" s="377"/>
      <c r="L9" s="377"/>
      <c r="M9" s="377"/>
      <c r="N9" s="377"/>
      <c r="O9" s="377"/>
      <c r="P9" s="377"/>
      <c r="Q9" s="377"/>
      <c r="R9" s="377"/>
      <c r="S9" s="378"/>
      <c r="T9" s="377"/>
      <c r="U9" s="377"/>
      <c r="V9" s="378"/>
    </row>
    <row r="10" spans="1:22" s="333" customFormat="1" ht="15.95" customHeight="1">
      <c r="A10" s="802">
        <v>1986</v>
      </c>
      <c r="B10" s="801">
        <v>2.2521069723018146</v>
      </c>
      <c r="C10" s="801">
        <v>4.5879672620576084</v>
      </c>
      <c r="D10" s="801">
        <v>40.94923</v>
      </c>
      <c r="E10" s="801">
        <v>0</v>
      </c>
      <c r="F10" s="801">
        <v>13.160555555555554</v>
      </c>
      <c r="G10" s="810">
        <v>60.949859789914974</v>
      </c>
      <c r="H10" s="334"/>
      <c r="I10" s="334"/>
      <c r="J10" s="334"/>
      <c r="K10" s="334"/>
      <c r="L10" s="334"/>
      <c r="M10" s="334"/>
      <c r="N10" s="379"/>
      <c r="O10" s="379"/>
      <c r="P10" s="334"/>
      <c r="Q10" s="335"/>
      <c r="R10" s="335"/>
      <c r="S10" s="335"/>
      <c r="T10" s="335"/>
    </row>
    <row r="11" spans="1:22" s="333" customFormat="1" ht="15.95" customHeight="1">
      <c r="A11" s="144">
        <v>1987</v>
      </c>
      <c r="B11" s="160">
        <v>2.2354503879808485</v>
      </c>
      <c r="C11" s="160">
        <v>5.1692517411973249</v>
      </c>
      <c r="D11" s="160">
        <v>41.868000000000009</v>
      </c>
      <c r="E11" s="160">
        <v>0</v>
      </c>
      <c r="F11" s="160">
        <v>12.071944444444444</v>
      </c>
      <c r="G11" s="161">
        <v>61.344646573622626</v>
      </c>
      <c r="H11" s="334"/>
      <c r="I11" s="334"/>
      <c r="J11" s="334"/>
      <c r="K11" s="334"/>
      <c r="L11" s="334"/>
      <c r="M11" s="334"/>
      <c r="N11" s="379"/>
      <c r="O11" s="379"/>
      <c r="P11" s="334"/>
      <c r="Q11" s="335"/>
      <c r="R11" s="335"/>
      <c r="S11" s="335"/>
      <c r="T11" s="335"/>
      <c r="U11" s="334"/>
    </row>
    <row r="12" spans="1:22" s="333" customFormat="1" ht="15.95" customHeight="1">
      <c r="A12" s="802">
        <v>1988</v>
      </c>
      <c r="B12" s="801">
        <v>2.3426011112467946</v>
      </c>
      <c r="C12" s="801">
        <v>5.4613124277542306</v>
      </c>
      <c r="D12" s="801">
        <v>43.391529999999996</v>
      </c>
      <c r="E12" s="801">
        <v>0</v>
      </c>
      <c r="F12" s="801">
        <v>11.455555555555554</v>
      </c>
      <c r="G12" s="810">
        <v>62.650999094556575</v>
      </c>
      <c r="H12" s="334"/>
      <c r="I12" s="334"/>
      <c r="J12" s="334"/>
      <c r="K12" s="334"/>
      <c r="L12" s="334"/>
      <c r="M12" s="334"/>
      <c r="N12" s="379"/>
      <c r="O12" s="379"/>
      <c r="P12" s="334"/>
      <c r="Q12" s="335"/>
      <c r="R12" s="335"/>
      <c r="S12" s="335"/>
      <c r="T12" s="335"/>
      <c r="U12" s="334"/>
    </row>
    <row r="13" spans="1:22" s="333" customFormat="1" ht="15.95" customHeight="1">
      <c r="A13" s="144">
        <v>1989</v>
      </c>
      <c r="B13" s="160">
        <v>2.4486826506826507</v>
      </c>
      <c r="C13" s="160">
        <v>5.0796597453997698</v>
      </c>
      <c r="D13" s="160">
        <v>43.321750000000009</v>
      </c>
      <c r="E13" s="160">
        <v>0</v>
      </c>
      <c r="F13" s="160">
        <v>11.025555555555556</v>
      </c>
      <c r="G13" s="161">
        <v>61.875647951637987</v>
      </c>
      <c r="H13" s="334"/>
      <c r="I13" s="334"/>
      <c r="J13" s="334"/>
      <c r="K13" s="334"/>
      <c r="L13" s="334"/>
      <c r="M13" s="334"/>
      <c r="N13" s="379"/>
      <c r="O13" s="379"/>
      <c r="P13" s="334"/>
      <c r="Q13" s="335"/>
      <c r="R13" s="335"/>
      <c r="S13" s="335"/>
      <c r="T13" s="335"/>
      <c r="U13" s="334"/>
    </row>
    <row r="14" spans="1:22" s="333" customFormat="1" ht="15.95" customHeight="1">
      <c r="A14" s="802">
        <v>1990</v>
      </c>
      <c r="B14" s="801">
        <v>2.191290457569139</v>
      </c>
      <c r="C14" s="801">
        <v>5.273221704885632</v>
      </c>
      <c r="D14" s="801">
        <v>42.786769999999997</v>
      </c>
      <c r="E14" s="801">
        <v>0</v>
      </c>
      <c r="F14" s="801">
        <v>11.153055555555557</v>
      </c>
      <c r="G14" s="810">
        <v>61.404337718010325</v>
      </c>
      <c r="H14" s="334"/>
      <c r="I14" s="334"/>
      <c r="J14" s="334"/>
      <c r="K14" s="334"/>
      <c r="L14" s="334"/>
      <c r="M14" s="334"/>
      <c r="N14" s="379"/>
      <c r="O14" s="379"/>
      <c r="P14" s="334"/>
      <c r="Q14" s="335"/>
      <c r="R14" s="335"/>
      <c r="S14" s="335"/>
      <c r="T14" s="335"/>
    </row>
    <row r="15" spans="1:22" s="333" customFormat="1" ht="15.95" customHeight="1">
      <c r="A15" s="144">
        <v>1991</v>
      </c>
      <c r="B15" s="160">
        <v>2.0110000000000001</v>
      </c>
      <c r="C15" s="160">
        <v>6.1949138640003465</v>
      </c>
      <c r="D15" s="160">
        <v>44.368450000000003</v>
      </c>
      <c r="E15" s="160">
        <v>0</v>
      </c>
      <c r="F15" s="160">
        <v>11.176388888888889</v>
      </c>
      <c r="G15" s="161">
        <v>63.750752752889234</v>
      </c>
      <c r="H15" s="334"/>
      <c r="I15" s="334"/>
      <c r="J15" s="334"/>
      <c r="K15" s="334"/>
      <c r="L15" s="334"/>
      <c r="M15" s="334"/>
      <c r="N15" s="379"/>
      <c r="O15" s="379"/>
      <c r="P15" s="334"/>
      <c r="Q15" s="335"/>
      <c r="R15" s="335"/>
      <c r="S15" s="335"/>
      <c r="T15" s="335"/>
    </row>
    <row r="16" spans="1:22" s="297" customFormat="1" ht="15.95" customHeight="1">
      <c r="A16" s="802">
        <v>1992</v>
      </c>
      <c r="B16" s="801">
        <v>2.4937840446348298</v>
      </c>
      <c r="C16" s="801">
        <v>7.269179553906306</v>
      </c>
      <c r="D16" s="801">
        <v>44.25215</v>
      </c>
      <c r="E16" s="801">
        <v>0</v>
      </c>
      <c r="F16" s="801">
        <v>11.176388888888889</v>
      </c>
      <c r="G16" s="810">
        <v>65.191502487430029</v>
      </c>
      <c r="H16" s="334"/>
      <c r="I16" s="334"/>
      <c r="J16" s="334"/>
      <c r="K16" s="334"/>
      <c r="L16" s="334"/>
      <c r="M16" s="334"/>
      <c r="N16" s="379"/>
      <c r="O16" s="379"/>
      <c r="P16" s="334"/>
      <c r="Q16" s="335"/>
      <c r="R16" s="335"/>
      <c r="S16" s="335"/>
      <c r="T16" s="335"/>
      <c r="U16" s="334"/>
    </row>
    <row r="17" spans="1:80" s="333" customFormat="1" ht="15.95" customHeight="1">
      <c r="A17" s="144">
        <v>1993</v>
      </c>
      <c r="B17" s="160">
        <v>2.3269444444444445</v>
      </c>
      <c r="C17" s="160">
        <v>9.3892777777777763</v>
      </c>
      <c r="D17" s="160">
        <v>45.729159999999993</v>
      </c>
      <c r="E17" s="160">
        <v>0</v>
      </c>
      <c r="F17" s="160">
        <v>11.164444444444444</v>
      </c>
      <c r="G17" s="161">
        <v>68.609826666666663</v>
      </c>
      <c r="H17" s="334"/>
      <c r="I17" s="334"/>
      <c r="J17" s="334"/>
      <c r="K17" s="334"/>
      <c r="L17" s="334"/>
      <c r="M17" s="334"/>
      <c r="N17" s="379"/>
      <c r="O17" s="379"/>
      <c r="P17" s="334"/>
      <c r="Q17" s="335"/>
      <c r="R17" s="335"/>
      <c r="S17" s="335"/>
      <c r="T17" s="335"/>
      <c r="U17" s="334"/>
    </row>
    <row r="18" spans="1:80" s="333" customFormat="1" ht="15.95" customHeight="1">
      <c r="A18" s="802">
        <v>1994</v>
      </c>
      <c r="B18" s="801">
        <v>2.4198199333767154</v>
      </c>
      <c r="C18" s="801">
        <v>12.367887565622706</v>
      </c>
      <c r="D18" s="801">
        <v>46.589780000000005</v>
      </c>
      <c r="E18" s="801">
        <v>0</v>
      </c>
      <c r="F18" s="801">
        <v>10.548055555555555</v>
      </c>
      <c r="G18" s="810">
        <v>71.925543054554979</v>
      </c>
      <c r="H18" s="334"/>
      <c r="I18" s="334"/>
      <c r="J18" s="334"/>
      <c r="K18" s="334"/>
      <c r="L18" s="334"/>
      <c r="M18" s="334"/>
      <c r="N18" s="379"/>
      <c r="O18" s="379"/>
      <c r="P18" s="334"/>
      <c r="Q18" s="335"/>
      <c r="R18" s="335"/>
      <c r="S18" s="335"/>
      <c r="T18" s="335"/>
      <c r="U18" s="334"/>
    </row>
    <row r="19" spans="1:80" s="333" customFormat="1" ht="15.95" customHeight="1">
      <c r="A19" s="144">
        <v>1995</v>
      </c>
      <c r="B19" s="160">
        <v>2.7354973433861778</v>
      </c>
      <c r="C19" s="160">
        <v>14.36362540841567</v>
      </c>
      <c r="D19" s="160">
        <v>49.066969999999998</v>
      </c>
      <c r="E19" s="160">
        <v>0</v>
      </c>
      <c r="F19" s="160">
        <v>11.338888888888889</v>
      </c>
      <c r="G19" s="161">
        <v>77.50498164069073</v>
      </c>
      <c r="H19" s="334"/>
      <c r="I19" s="334"/>
      <c r="J19" s="334"/>
      <c r="K19" s="334"/>
      <c r="L19" s="334"/>
      <c r="M19" s="334"/>
      <c r="N19" s="334"/>
      <c r="O19" s="334"/>
      <c r="P19" s="334"/>
      <c r="Q19" s="335"/>
      <c r="R19" s="335"/>
      <c r="S19" s="335"/>
      <c r="T19" s="335"/>
    </row>
    <row r="20" spans="1:80" s="297" customFormat="1" ht="15.95" customHeight="1">
      <c r="A20" s="802">
        <v>1996</v>
      </c>
      <c r="B20" s="801">
        <v>2.887451029997123</v>
      </c>
      <c r="C20" s="801">
        <v>18.066281970482692</v>
      </c>
      <c r="D20" s="801">
        <v>48.68318</v>
      </c>
      <c r="E20" s="801">
        <v>9.2150000000000001E-4</v>
      </c>
      <c r="F20" s="801">
        <v>11.606666666666666</v>
      </c>
      <c r="G20" s="810">
        <v>81.244501167146481</v>
      </c>
      <c r="H20" s="336"/>
      <c r="I20" s="336"/>
      <c r="J20" s="336"/>
      <c r="K20" s="336"/>
      <c r="L20" s="336"/>
      <c r="M20" s="336"/>
      <c r="N20" s="336"/>
      <c r="O20" s="336"/>
      <c r="P20" s="336"/>
      <c r="Q20" s="337"/>
      <c r="R20" s="337"/>
      <c r="S20" s="337"/>
      <c r="T20" s="337"/>
    </row>
    <row r="21" spans="1:80" s="339" customFormat="1" ht="15.95" customHeight="1">
      <c r="A21" s="144">
        <v>1997</v>
      </c>
      <c r="B21" s="160">
        <v>3.5547894258428165</v>
      </c>
      <c r="C21" s="160">
        <v>17.415473794107278</v>
      </c>
      <c r="D21" s="160">
        <v>51.520900000000005</v>
      </c>
      <c r="E21" s="160">
        <v>1.0863999999999999E-2</v>
      </c>
      <c r="F21" s="160">
        <v>11.001666666666667</v>
      </c>
      <c r="G21" s="161">
        <v>83.503693886616759</v>
      </c>
      <c r="H21" s="333"/>
      <c r="I21" s="333"/>
      <c r="J21" s="333"/>
      <c r="K21" s="333"/>
      <c r="L21" s="333"/>
      <c r="M21" s="333"/>
      <c r="N21" s="333"/>
      <c r="O21" s="333"/>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row>
    <row r="22" spans="1:80" s="333" customFormat="1" ht="15.95" customHeight="1">
      <c r="A22" s="802">
        <v>1998</v>
      </c>
      <c r="B22" s="801">
        <v>3.4351667276780002</v>
      </c>
      <c r="C22" s="801">
        <v>17.517022857807255</v>
      </c>
      <c r="D22" s="801">
        <v>51.753500000000003</v>
      </c>
      <c r="E22" s="801">
        <v>0.17921359999999997</v>
      </c>
      <c r="F22" s="801">
        <v>10.815833333333334</v>
      </c>
      <c r="G22" s="810">
        <v>83.700736518818587</v>
      </c>
      <c r="P22" s="380"/>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row>
    <row r="23" spans="1:80" s="333" customFormat="1" ht="15.95" customHeight="1">
      <c r="A23" s="144">
        <v>1999</v>
      </c>
      <c r="B23" s="160">
        <v>3.0784019820834136</v>
      </c>
      <c r="C23" s="160">
        <v>17.495470959712165</v>
      </c>
      <c r="D23" s="160">
        <v>52.183810000000008</v>
      </c>
      <c r="E23" s="160">
        <v>0.19856589999999996</v>
      </c>
      <c r="F23" s="160">
        <v>10.208333333333334</v>
      </c>
      <c r="G23" s="161">
        <v>83.164582175128928</v>
      </c>
      <c r="H23" s="381"/>
      <c r="I23" s="381"/>
      <c r="J23" s="381"/>
      <c r="K23" s="381"/>
      <c r="L23" s="381"/>
      <c r="M23" s="381"/>
      <c r="N23" s="381"/>
      <c r="P23" s="341"/>
      <c r="V23" s="382"/>
    </row>
    <row r="24" spans="1:80" s="381" customFormat="1" ht="15.95" customHeight="1">
      <c r="A24" s="802">
        <v>2000</v>
      </c>
      <c r="B24" s="801">
        <v>4.3973265048181513</v>
      </c>
      <c r="C24" s="801">
        <v>17.056219755154267</v>
      </c>
      <c r="D24" s="801">
        <v>51.660460000000008</v>
      </c>
      <c r="E24" s="801">
        <v>0.22937966666666665</v>
      </c>
      <c r="F24" s="801">
        <v>10.306388888888888</v>
      </c>
      <c r="G24" s="810">
        <v>83.649774815527991</v>
      </c>
    </row>
    <row r="25" spans="1:80" ht="15.95" customHeight="1">
      <c r="A25" s="144">
        <v>2001</v>
      </c>
      <c r="B25" s="160">
        <v>4.2769980966395789</v>
      </c>
      <c r="C25" s="160">
        <v>20.572555033893337</v>
      </c>
      <c r="D25" s="160">
        <v>50.590499999999999</v>
      </c>
      <c r="E25" s="160">
        <v>0.31590943333333332</v>
      </c>
      <c r="F25" s="160">
        <v>10.820555555555556</v>
      </c>
      <c r="G25" s="161">
        <v>86.576518119421806</v>
      </c>
    </row>
    <row r="26" spans="1:80" s="333" customFormat="1" ht="15.95" customHeight="1">
      <c r="A26" s="802">
        <v>2002</v>
      </c>
      <c r="B26" s="801">
        <v>4.9078581304318334</v>
      </c>
      <c r="C26" s="801">
        <v>20.49717619369153</v>
      </c>
      <c r="D26" s="801">
        <v>53.93994</v>
      </c>
      <c r="E26" s="801">
        <v>0.58026613333333332</v>
      </c>
      <c r="F26" s="801">
        <v>11.321666666666665</v>
      </c>
      <c r="G26" s="810">
        <v>91.246907124123368</v>
      </c>
      <c r="H26" s="341"/>
      <c r="I26" s="341"/>
      <c r="K26" s="341"/>
      <c r="L26" s="341"/>
      <c r="M26" s="342"/>
      <c r="N26" s="343"/>
      <c r="O26" s="343"/>
      <c r="P26" s="343"/>
      <c r="Q26" s="344"/>
    </row>
    <row r="27" spans="1:80" s="333" customFormat="1" ht="15.95" customHeight="1">
      <c r="A27" s="144">
        <v>2003</v>
      </c>
      <c r="B27" s="160">
        <v>6.0007509244885258</v>
      </c>
      <c r="C27" s="160">
        <v>21.100074282681689</v>
      </c>
      <c r="D27" s="160">
        <v>55.260454045099998</v>
      </c>
      <c r="E27" s="160">
        <v>1.0426552333333332</v>
      </c>
      <c r="F27" s="160">
        <v>12.844166666666666</v>
      </c>
      <c r="G27" s="161">
        <v>96.248101152270209</v>
      </c>
      <c r="H27" s="341"/>
      <c r="I27" s="341"/>
      <c r="K27" s="341"/>
      <c r="L27" s="341"/>
      <c r="M27" s="342"/>
      <c r="N27" s="383"/>
      <c r="O27" s="384"/>
      <c r="P27" s="345"/>
      <c r="Q27" s="346"/>
    </row>
    <row r="28" spans="1:80" s="333" customFormat="1" ht="15.95" customHeight="1">
      <c r="A28" s="802">
        <v>2004</v>
      </c>
      <c r="B28" s="801">
        <v>7.9860621177830398</v>
      </c>
      <c r="C28" s="801">
        <v>18.789255810565187</v>
      </c>
      <c r="D28" s="801">
        <v>55.353055555555557</v>
      </c>
      <c r="E28" s="801">
        <v>1.7487309999999998</v>
      </c>
      <c r="F28" s="801">
        <v>12.583055555555555</v>
      </c>
      <c r="G28" s="810">
        <v>96.460160039459353</v>
      </c>
      <c r="I28" s="341"/>
      <c r="K28" s="341"/>
      <c r="L28" s="341"/>
      <c r="M28" s="342"/>
      <c r="N28" s="385"/>
      <c r="O28" s="386"/>
      <c r="P28" s="343"/>
      <c r="Q28" s="344"/>
    </row>
    <row r="29" spans="1:80" s="333" customFormat="1" ht="15.95" customHeight="1">
      <c r="A29" s="144">
        <v>2005</v>
      </c>
      <c r="B29" s="160">
        <v>9.1588888888888889</v>
      </c>
      <c r="C29" s="160">
        <v>27.952222222222222</v>
      </c>
      <c r="D29" s="160">
        <v>52.990833333333327</v>
      </c>
      <c r="E29" s="160">
        <v>1.9268155111111112</v>
      </c>
      <c r="F29" s="160">
        <v>13.341666666666669</v>
      </c>
      <c r="G29" s="161">
        <v>105.37042662222223</v>
      </c>
      <c r="K29" s="341"/>
      <c r="L29" s="341"/>
      <c r="M29" s="342"/>
      <c r="N29" s="385"/>
      <c r="O29" s="386"/>
      <c r="P29" s="345"/>
      <c r="Q29" s="346"/>
    </row>
    <row r="30" spans="1:80" s="333" customFormat="1" ht="15.95" customHeight="1">
      <c r="A30" s="802">
        <v>2006</v>
      </c>
      <c r="B30" s="801">
        <v>9.718055555555555</v>
      </c>
      <c r="C30" s="801">
        <v>30.923888888888889</v>
      </c>
      <c r="D30" s="801">
        <v>53.305</v>
      </c>
      <c r="E30" s="801">
        <v>2.7347674222222222</v>
      </c>
      <c r="F30" s="801">
        <v>12.608888888888888</v>
      </c>
      <c r="G30" s="810">
        <v>109.29060075555556</v>
      </c>
      <c r="H30" s="341"/>
      <c r="I30" s="341"/>
      <c r="K30" s="341"/>
      <c r="L30" s="341"/>
      <c r="M30" s="342"/>
      <c r="N30" s="385"/>
      <c r="O30" s="386"/>
      <c r="P30" s="345"/>
      <c r="Q30" s="346"/>
    </row>
    <row r="31" spans="1:80" s="333" customFormat="1" ht="15.95" customHeight="1">
      <c r="A31" s="144">
        <v>2007</v>
      </c>
      <c r="B31" s="160">
        <v>10.297499999999999</v>
      </c>
      <c r="C31" s="160">
        <v>30.95611111111111</v>
      </c>
      <c r="D31" s="160">
        <v>55.093333333333327</v>
      </c>
      <c r="E31" s="160">
        <v>3.6776475444444445</v>
      </c>
      <c r="F31" s="160">
        <v>13.716111111111111</v>
      </c>
      <c r="G31" s="161">
        <v>113.74070309999999</v>
      </c>
      <c r="H31" s="341"/>
      <c r="I31" s="341"/>
      <c r="K31" s="341"/>
      <c r="L31" s="341"/>
      <c r="M31" s="342"/>
      <c r="N31" s="385"/>
      <c r="O31" s="386"/>
      <c r="P31" s="345"/>
      <c r="Q31" s="346"/>
    </row>
    <row r="32" spans="1:80" s="333" customFormat="1" ht="15.95" customHeight="1">
      <c r="A32" s="802">
        <v>2008</v>
      </c>
      <c r="B32" s="801">
        <v>11.954444444444444</v>
      </c>
      <c r="C32" s="801">
        <v>31.373055555555556</v>
      </c>
      <c r="D32" s="801">
        <v>54.157499999999999</v>
      </c>
      <c r="E32" s="801">
        <v>4.2920002222222218</v>
      </c>
      <c r="F32" s="801">
        <v>13.971944444444443</v>
      </c>
      <c r="G32" s="810">
        <v>115.74894466666667</v>
      </c>
      <c r="K32" s="341"/>
      <c r="L32" s="341"/>
      <c r="M32" s="342"/>
      <c r="N32" s="385"/>
      <c r="O32" s="386"/>
      <c r="P32" s="345"/>
    </row>
    <row r="33" spans="1:21" s="333" customFormat="1" ht="15.95" customHeight="1">
      <c r="A33" s="144">
        <v>2009</v>
      </c>
      <c r="B33" s="160">
        <v>12.971944444444444</v>
      </c>
      <c r="C33" s="160">
        <v>33.987222222222222</v>
      </c>
      <c r="D33" s="160">
        <v>52.617777777777775</v>
      </c>
      <c r="E33" s="160">
        <v>4.559166666666667</v>
      </c>
      <c r="F33" s="160">
        <v>14.847777777777777</v>
      </c>
      <c r="G33" s="161">
        <v>118.9838888888889</v>
      </c>
      <c r="H33" s="347"/>
      <c r="I33" s="348"/>
      <c r="J33" s="347"/>
      <c r="K33" s="348"/>
      <c r="L33" s="348"/>
      <c r="M33" s="349"/>
      <c r="N33" s="350"/>
      <c r="O33" s="351"/>
      <c r="P33" s="352"/>
      <c r="Q33" s="347"/>
      <c r="R33" s="347"/>
      <c r="S33" s="347"/>
    </row>
    <row r="34" spans="1:21" s="333" customFormat="1" ht="15.95" customHeight="1">
      <c r="A34" s="802">
        <v>2010</v>
      </c>
      <c r="B34" s="801">
        <v>14.973333333333333</v>
      </c>
      <c r="C34" s="801">
        <v>38.37916666666667</v>
      </c>
      <c r="D34" s="801">
        <v>54.421666666666667</v>
      </c>
      <c r="E34" s="801">
        <v>4.9680555555555559</v>
      </c>
      <c r="F34" s="801">
        <v>14.709999999999997</v>
      </c>
      <c r="G34" s="810">
        <v>127.45222222222222</v>
      </c>
      <c r="H34" s="347"/>
      <c r="I34" s="348"/>
      <c r="J34" s="347"/>
      <c r="K34" s="352"/>
      <c r="L34" s="352"/>
      <c r="M34" s="352"/>
      <c r="N34" s="353"/>
      <c r="O34" s="353"/>
      <c r="P34" s="354"/>
      <c r="Q34" s="347"/>
      <c r="R34" s="347"/>
      <c r="S34" s="347"/>
    </row>
    <row r="35" spans="1:21" s="333" customFormat="1" ht="15.95" customHeight="1">
      <c r="A35" s="144">
        <v>2011</v>
      </c>
      <c r="B35" s="160">
        <v>14.498611111111112</v>
      </c>
      <c r="C35" s="160">
        <v>33.790555555555557</v>
      </c>
      <c r="D35" s="160">
        <v>53.971388888888889</v>
      </c>
      <c r="E35" s="160">
        <v>5.8905555555555553</v>
      </c>
      <c r="F35" s="160">
        <v>15.038611111111111</v>
      </c>
      <c r="G35" s="161">
        <v>123.18972222222222</v>
      </c>
      <c r="H35" s="347"/>
      <c r="I35" s="347"/>
      <c r="J35" s="347"/>
      <c r="K35" s="352"/>
      <c r="L35" s="352"/>
      <c r="M35" s="352"/>
      <c r="N35" s="353"/>
      <c r="O35" s="353"/>
      <c r="P35" s="352"/>
      <c r="Q35" s="347"/>
      <c r="R35" s="347"/>
      <c r="S35" s="347"/>
    </row>
    <row r="36" spans="1:21" s="297" customFormat="1" ht="15.95" customHeight="1">
      <c r="A36" s="802">
        <v>2012</v>
      </c>
      <c r="B36" s="801">
        <v>14.338888888888889</v>
      </c>
      <c r="C36" s="801">
        <v>37.645833333333336</v>
      </c>
      <c r="D36" s="801">
        <v>55.175555555555555</v>
      </c>
      <c r="E36" s="801">
        <v>6.918333333333333</v>
      </c>
      <c r="F36" s="801">
        <v>14.730833333333335</v>
      </c>
      <c r="G36" s="810">
        <v>128.80944444444444</v>
      </c>
      <c r="H36" s="348"/>
      <c r="I36" s="348"/>
      <c r="J36" s="347"/>
      <c r="K36" s="348"/>
      <c r="L36" s="348"/>
      <c r="M36" s="349"/>
      <c r="N36" s="350"/>
      <c r="O36" s="353"/>
      <c r="P36" s="354"/>
      <c r="Q36" s="347"/>
      <c r="R36" s="347"/>
      <c r="S36" s="347"/>
      <c r="T36" s="333"/>
      <c r="U36" s="333"/>
    </row>
    <row r="37" spans="1:21" s="333" customFormat="1" ht="15.95" customHeight="1">
      <c r="A37" s="144">
        <v>2013</v>
      </c>
      <c r="B37" s="160">
        <v>13.533888888888889</v>
      </c>
      <c r="C37" s="160">
        <v>37.902777777777779</v>
      </c>
      <c r="D37" s="160">
        <v>55.329166666666666</v>
      </c>
      <c r="E37" s="160">
        <v>8.3650000000000002</v>
      </c>
      <c r="F37" s="160">
        <v>14.707499999999998</v>
      </c>
      <c r="G37" s="161">
        <v>129.83833333333334</v>
      </c>
      <c r="H37" s="347"/>
      <c r="I37" s="347"/>
      <c r="J37" s="347"/>
      <c r="K37" s="352"/>
      <c r="L37" s="352"/>
      <c r="M37" s="352"/>
      <c r="N37" s="353"/>
      <c r="O37" s="353"/>
      <c r="P37" s="352"/>
      <c r="Q37" s="347"/>
      <c r="R37" s="347"/>
      <c r="S37" s="347"/>
    </row>
    <row r="38" spans="1:21" s="297" customFormat="1" ht="15.95" customHeight="1">
      <c r="A38" s="802">
        <v>2014</v>
      </c>
      <c r="B38" s="801">
        <v>12.870833333333334</v>
      </c>
      <c r="C38" s="801">
        <v>36.396666666666668</v>
      </c>
      <c r="D38" s="801">
        <v>56.402777777777771</v>
      </c>
      <c r="E38" s="801">
        <v>10.993611111111111</v>
      </c>
      <c r="F38" s="801">
        <v>13.669166666666666</v>
      </c>
      <c r="G38" s="810">
        <v>130.33305555555555</v>
      </c>
      <c r="H38" s="348"/>
      <c r="I38" s="348"/>
      <c r="J38" s="347"/>
      <c r="K38" s="348"/>
      <c r="L38" s="348"/>
      <c r="M38" s="349"/>
      <c r="N38" s="350"/>
      <c r="O38" s="353"/>
      <c r="P38" s="354"/>
      <c r="Q38" s="347"/>
      <c r="R38" s="347"/>
      <c r="S38" s="347"/>
      <c r="T38" s="333"/>
      <c r="U38" s="333"/>
    </row>
    <row r="39" spans="1:21" s="333" customFormat="1" ht="15.95" customHeight="1">
      <c r="A39" s="144">
        <v>2015</v>
      </c>
      <c r="B39" s="160">
        <v>13.088611111111112</v>
      </c>
      <c r="C39" s="160">
        <v>36.938611111111108</v>
      </c>
      <c r="D39" s="160">
        <v>56.738055555555555</v>
      </c>
      <c r="E39" s="160">
        <v>13.186388888888889</v>
      </c>
      <c r="F39" s="160">
        <v>13.592222222222222</v>
      </c>
      <c r="G39" s="161">
        <v>133.54388888888889</v>
      </c>
      <c r="H39" s="347"/>
      <c r="I39" s="347"/>
      <c r="J39" s="347"/>
      <c r="K39" s="352"/>
      <c r="L39" s="352"/>
      <c r="M39" s="352"/>
      <c r="N39" s="353"/>
      <c r="O39" s="353"/>
      <c r="P39" s="352"/>
      <c r="Q39" s="347"/>
      <c r="R39" s="347"/>
      <c r="S39" s="347"/>
    </row>
    <row r="40" spans="1:21" s="333" customFormat="1" ht="15.95" customHeight="1">
      <c r="A40" s="426"/>
      <c r="B40" s="145"/>
      <c r="C40" s="145"/>
      <c r="D40" s="145"/>
      <c r="E40" s="145"/>
      <c r="F40" s="148"/>
      <c r="G40" s="348"/>
      <c r="H40" s="348"/>
      <c r="I40" s="348"/>
      <c r="J40" s="347"/>
      <c r="K40" s="348"/>
      <c r="L40" s="348"/>
      <c r="M40" s="349"/>
      <c r="N40" s="350"/>
      <c r="O40" s="351"/>
      <c r="P40" s="355"/>
      <c r="Q40" s="347"/>
      <c r="R40" s="347"/>
      <c r="S40" s="347"/>
    </row>
    <row r="41" spans="1:21" s="333" customFormat="1" ht="15.4">
      <c r="A41" s="140" t="s">
        <v>27</v>
      </c>
      <c r="B41" s="390"/>
      <c r="C41" s="390"/>
      <c r="D41" s="390"/>
      <c r="E41" s="390"/>
      <c r="F41" s="390"/>
      <c r="G41" s="347"/>
      <c r="H41" s="347"/>
      <c r="I41" s="347"/>
      <c r="J41" s="347"/>
      <c r="K41" s="348"/>
      <c r="L41" s="348"/>
      <c r="M41" s="349"/>
      <c r="N41" s="350"/>
      <c r="O41" s="351"/>
      <c r="P41" s="352"/>
      <c r="Q41" s="356"/>
      <c r="R41" s="347"/>
      <c r="S41" s="347"/>
    </row>
    <row r="42" spans="1:21" s="333" customFormat="1" ht="15.4">
      <c r="A42" s="389"/>
      <c r="B42" s="340"/>
      <c r="C42" s="340"/>
      <c r="D42" s="340"/>
      <c r="E42" s="340"/>
      <c r="F42" s="340"/>
      <c r="G42" s="347"/>
      <c r="H42" s="347"/>
      <c r="I42" s="348"/>
      <c r="J42" s="347"/>
      <c r="K42" s="348"/>
      <c r="L42" s="348"/>
      <c r="M42" s="349"/>
      <c r="N42" s="350"/>
      <c r="O42" s="351"/>
      <c r="P42" s="352"/>
      <c r="Q42" s="356"/>
      <c r="R42" s="347"/>
      <c r="S42" s="347"/>
    </row>
    <row r="43" spans="1:21" s="333" customFormat="1" ht="15.4">
      <c r="A43" s="340"/>
      <c r="B43" s="340"/>
      <c r="C43" s="340"/>
      <c r="D43" s="340"/>
      <c r="E43" s="340"/>
      <c r="F43" s="340"/>
      <c r="G43" s="347"/>
      <c r="H43" s="347"/>
      <c r="I43" s="347"/>
      <c r="J43" s="347"/>
      <c r="K43" s="348"/>
      <c r="L43" s="348"/>
      <c r="M43" s="349"/>
      <c r="N43" s="350"/>
      <c r="O43" s="353"/>
      <c r="P43" s="352"/>
      <c r="Q43" s="356"/>
      <c r="R43" s="347"/>
      <c r="S43" s="347"/>
    </row>
    <row r="44" spans="1:21" s="333" customFormat="1" ht="15">
      <c r="A44" s="347"/>
      <c r="B44" s="347"/>
      <c r="C44" s="347"/>
      <c r="D44" s="347"/>
      <c r="E44" s="347"/>
      <c r="F44" s="347"/>
      <c r="G44" s="347"/>
      <c r="H44" s="347"/>
      <c r="I44" s="347"/>
      <c r="J44" s="347"/>
      <c r="K44" s="348"/>
      <c r="L44" s="348"/>
      <c r="M44" s="349"/>
      <c r="N44" s="350"/>
      <c r="O44" s="351"/>
      <c r="P44" s="352"/>
      <c r="Q44" s="356"/>
      <c r="R44" s="347"/>
      <c r="S44" s="347"/>
    </row>
    <row r="45" spans="1:21" s="333" customFormat="1" ht="15">
      <c r="A45" s="347"/>
      <c r="B45" s="347"/>
      <c r="C45" s="347"/>
      <c r="D45" s="347"/>
      <c r="E45" s="347"/>
      <c r="F45" s="347"/>
      <c r="G45" s="347"/>
      <c r="H45" s="347"/>
      <c r="I45" s="347"/>
      <c r="J45" s="347"/>
      <c r="K45" s="348"/>
      <c r="L45" s="348"/>
      <c r="M45" s="349"/>
      <c r="N45" s="350"/>
      <c r="O45" s="353"/>
      <c r="P45" s="354"/>
      <c r="Q45" s="347"/>
      <c r="R45" s="347"/>
      <c r="S45" s="347"/>
    </row>
    <row r="46" spans="1:21" s="333" customFormat="1" ht="15.4">
      <c r="A46" s="347"/>
      <c r="B46" s="347"/>
      <c r="C46" s="347"/>
      <c r="D46" s="347"/>
      <c r="E46" s="347"/>
      <c r="F46" s="347"/>
      <c r="G46" s="347"/>
      <c r="H46" s="347"/>
      <c r="I46" s="347"/>
      <c r="J46" s="347"/>
      <c r="K46" s="348"/>
      <c r="L46" s="348"/>
      <c r="M46" s="349"/>
      <c r="N46" s="357"/>
      <c r="O46" s="358"/>
      <c r="P46" s="352"/>
      <c r="Q46" s="347"/>
      <c r="R46" s="347"/>
      <c r="S46" s="347"/>
    </row>
    <row r="47" spans="1:21" s="333" customFormat="1" ht="15">
      <c r="A47" s="347"/>
      <c r="B47" s="347"/>
      <c r="C47" s="347"/>
      <c r="D47" s="347"/>
      <c r="E47" s="347"/>
      <c r="F47" s="347"/>
      <c r="G47" s="347"/>
      <c r="H47" s="347"/>
      <c r="I47" s="347"/>
      <c r="J47" s="347"/>
      <c r="K47" s="348"/>
      <c r="L47" s="348"/>
      <c r="M47" s="349"/>
      <c r="N47" s="350"/>
      <c r="O47" s="351"/>
      <c r="P47" s="352"/>
      <c r="Q47" s="347"/>
      <c r="R47" s="347"/>
      <c r="S47" s="347"/>
    </row>
    <row r="48" spans="1:21" s="333" customFormat="1" ht="15">
      <c r="A48" s="347"/>
      <c r="B48" s="347"/>
      <c r="C48" s="347"/>
      <c r="D48" s="348"/>
      <c r="E48" s="348"/>
      <c r="F48" s="348"/>
      <c r="G48" s="348"/>
      <c r="H48" s="347"/>
      <c r="I48" s="348"/>
      <c r="J48" s="347"/>
      <c r="K48" s="348"/>
      <c r="L48" s="348"/>
      <c r="M48" s="349"/>
      <c r="N48" s="352"/>
      <c r="O48" s="352"/>
      <c r="P48" s="352"/>
      <c r="Q48" s="347"/>
      <c r="R48" s="347"/>
      <c r="S48" s="347"/>
    </row>
    <row r="49" spans="1:80" s="363" customFormat="1" ht="13.9">
      <c r="A49" s="359"/>
      <c r="B49" s="359"/>
      <c r="C49" s="359"/>
      <c r="D49" s="359"/>
      <c r="E49" s="359"/>
      <c r="F49" s="359"/>
      <c r="G49" s="359"/>
      <c r="H49" s="359"/>
      <c r="I49" s="359"/>
      <c r="J49" s="359"/>
      <c r="K49" s="359"/>
      <c r="L49" s="359"/>
      <c r="M49" s="360"/>
      <c r="N49" s="360"/>
      <c r="O49" s="359"/>
      <c r="P49" s="361"/>
      <c r="Q49" s="362"/>
      <c r="R49" s="362"/>
      <c r="S49" s="362"/>
    </row>
    <row r="50" spans="1:80" s="367" customFormat="1" ht="15.4">
      <c r="A50" s="347"/>
      <c r="B50" s="347"/>
      <c r="C50" s="347"/>
      <c r="D50" s="347"/>
      <c r="E50" s="347"/>
      <c r="F50" s="347"/>
      <c r="G50" s="347"/>
      <c r="H50" s="347"/>
      <c r="I50" s="347"/>
      <c r="J50" s="364"/>
      <c r="K50" s="364"/>
      <c r="L50" s="347"/>
      <c r="M50" s="365"/>
      <c r="N50" s="365"/>
      <c r="O50" s="366"/>
      <c r="P50" s="366"/>
      <c r="Q50" s="347"/>
      <c r="R50" s="347"/>
      <c r="S50" s="347"/>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row>
    <row r="51" spans="1:80" s="363" customFormat="1" ht="13.9">
      <c r="A51" s="359"/>
      <c r="B51" s="359"/>
      <c r="C51" s="359"/>
      <c r="D51" s="359"/>
      <c r="E51" s="359"/>
      <c r="F51" s="359"/>
      <c r="G51" s="359"/>
      <c r="H51" s="359"/>
      <c r="I51" s="359"/>
      <c r="J51" s="359"/>
      <c r="K51" s="359"/>
      <c r="L51" s="359"/>
      <c r="M51" s="368"/>
      <c r="N51" s="368"/>
      <c r="O51" s="369"/>
      <c r="P51" s="370"/>
      <c r="Q51" s="362"/>
      <c r="R51" s="362"/>
      <c r="S51" s="362"/>
    </row>
    <row r="52" spans="1:80" s="339" customFormat="1" ht="15">
      <c r="A52" s="347"/>
      <c r="B52" s="347"/>
      <c r="C52" s="347"/>
      <c r="D52" s="347"/>
      <c r="E52" s="347"/>
      <c r="F52" s="347"/>
      <c r="G52" s="347"/>
      <c r="H52" s="347"/>
      <c r="I52" s="347"/>
      <c r="J52" s="347"/>
      <c r="K52" s="347"/>
      <c r="L52" s="347"/>
      <c r="M52" s="371"/>
      <c r="N52" s="371"/>
      <c r="O52" s="371"/>
      <c r="P52" s="372"/>
      <c r="Q52" s="372"/>
      <c r="R52" s="372"/>
      <c r="S52" s="372"/>
      <c r="T52" s="338"/>
      <c r="U52" s="338"/>
      <c r="V52" s="338"/>
      <c r="W52" s="338"/>
      <c r="X52" s="338"/>
      <c r="Y52" s="338"/>
      <c r="Z52" s="338"/>
      <c r="AA52" s="338"/>
      <c r="AB52" s="338"/>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row>
    <row r="53" spans="1:80" s="333" customFormat="1" ht="15">
      <c r="A53" s="387"/>
      <c r="B53" s="373"/>
      <c r="C53" s="373"/>
      <c r="D53" s="347"/>
      <c r="E53" s="347"/>
      <c r="F53" s="347"/>
      <c r="G53" s="347"/>
      <c r="H53" s="347"/>
      <c r="I53" s="347"/>
      <c r="J53" s="347"/>
      <c r="K53" s="347"/>
      <c r="L53" s="347"/>
      <c r="M53" s="347"/>
      <c r="N53" s="347"/>
      <c r="O53" s="347"/>
      <c r="P53" s="374"/>
      <c r="Q53" s="372"/>
      <c r="R53" s="372"/>
      <c r="S53" s="372"/>
      <c r="T53" s="338"/>
      <c r="U53" s="338"/>
      <c r="V53" s="338"/>
      <c r="W53" s="338"/>
      <c r="X53" s="338"/>
      <c r="Y53" s="338"/>
      <c r="Z53" s="338"/>
      <c r="AA53" s="338"/>
      <c r="AB53" s="338"/>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row>
    <row r="54" spans="1:80" s="333" customFormat="1" ht="15">
      <c r="A54" s="388"/>
      <c r="B54" s="373"/>
      <c r="C54" s="373"/>
      <c r="D54" s="347"/>
      <c r="E54" s="347"/>
      <c r="F54" s="347"/>
      <c r="G54" s="347"/>
      <c r="H54" s="347"/>
      <c r="I54" s="347"/>
      <c r="J54" s="347"/>
      <c r="K54" s="347"/>
      <c r="L54" s="347"/>
      <c r="M54" s="347"/>
      <c r="N54" s="347"/>
      <c r="O54" s="347"/>
      <c r="P54" s="347"/>
      <c r="Q54" s="347"/>
      <c r="R54" s="347"/>
      <c r="S54" s="347"/>
    </row>
    <row r="55" spans="1:80" s="333" customFormat="1" ht="15">
      <c r="A55" s="375"/>
      <c r="B55" s="375"/>
      <c r="C55" s="375"/>
      <c r="D55" s="376"/>
      <c r="E55" s="376"/>
      <c r="F55" s="376"/>
      <c r="G55" s="376"/>
      <c r="H55" s="376"/>
      <c r="I55" s="376"/>
      <c r="J55" s="376"/>
      <c r="K55" s="376"/>
      <c r="L55" s="376"/>
      <c r="M55" s="376"/>
      <c r="N55" s="376"/>
      <c r="O55" s="347"/>
      <c r="P55" s="348"/>
      <c r="Q55" s="347"/>
      <c r="R55" s="347"/>
      <c r="S55" s="347"/>
    </row>
    <row r="56" spans="1:80" s="381" customFormat="1" ht="12.75">
      <c r="A56" s="375"/>
      <c r="B56" s="375"/>
      <c r="C56" s="375"/>
      <c r="D56" s="376"/>
      <c r="E56" s="376"/>
      <c r="F56" s="376"/>
      <c r="G56" s="376"/>
      <c r="H56" s="376"/>
      <c r="I56" s="376"/>
      <c r="J56" s="376"/>
      <c r="K56" s="376"/>
      <c r="L56" s="376"/>
      <c r="M56" s="376"/>
      <c r="N56" s="376"/>
      <c r="O56" s="376"/>
      <c r="P56" s="376"/>
      <c r="Q56" s="376"/>
      <c r="R56" s="376"/>
      <c r="S56" s="376"/>
    </row>
    <row r="57" spans="1:80">
      <c r="B57" s="372"/>
      <c r="C57" s="372"/>
      <c r="D57" s="372"/>
      <c r="E57" s="372"/>
      <c r="F57" s="372"/>
      <c r="G57" s="372"/>
      <c r="H57" s="372"/>
      <c r="I57" s="372"/>
      <c r="J57" s="372"/>
      <c r="K57" s="372"/>
      <c r="L57" s="372"/>
      <c r="M57" s="372"/>
      <c r="N57" s="372"/>
      <c r="O57" s="372"/>
      <c r="P57" s="372"/>
      <c r="Q57" s="372"/>
      <c r="R57" s="372"/>
      <c r="S57" s="372"/>
    </row>
    <row r="58" spans="1:80">
      <c r="B58" s="372"/>
      <c r="C58" s="372"/>
      <c r="D58" s="372"/>
      <c r="E58" s="372"/>
      <c r="F58" s="372"/>
      <c r="G58" s="372"/>
      <c r="H58" s="372"/>
      <c r="I58" s="372"/>
      <c r="J58" s="372"/>
      <c r="K58" s="372"/>
      <c r="L58" s="372"/>
      <c r="M58" s="372"/>
      <c r="N58" s="372"/>
      <c r="O58" s="372"/>
      <c r="P58" s="372"/>
      <c r="Q58" s="372"/>
      <c r="R58" s="372"/>
      <c r="S58" s="372"/>
    </row>
    <row r="59" spans="1:80">
      <c r="B59" s="372"/>
      <c r="C59" s="372"/>
      <c r="D59" s="372"/>
      <c r="E59" s="372"/>
      <c r="F59" s="372"/>
      <c r="G59" s="372"/>
      <c r="H59" s="372"/>
      <c r="I59" s="372"/>
      <c r="J59" s="372"/>
      <c r="K59" s="372"/>
      <c r="L59" s="372"/>
      <c r="M59" s="372"/>
      <c r="N59" s="372"/>
      <c r="O59" s="372"/>
      <c r="P59" s="372"/>
      <c r="Q59" s="372"/>
      <c r="R59" s="372"/>
      <c r="S59" s="372"/>
    </row>
    <row r="60" spans="1:80">
      <c r="B60" s="372"/>
      <c r="C60" s="372"/>
      <c r="D60" s="372"/>
      <c r="E60" s="372"/>
      <c r="F60" s="372"/>
      <c r="G60" s="372"/>
      <c r="H60" s="372"/>
      <c r="I60" s="372"/>
      <c r="J60" s="372"/>
      <c r="K60" s="372"/>
      <c r="L60" s="372"/>
      <c r="M60" s="372"/>
      <c r="N60" s="372"/>
      <c r="O60" s="372"/>
      <c r="P60" s="372"/>
      <c r="Q60" s="372"/>
      <c r="R60" s="372"/>
      <c r="S60" s="372"/>
    </row>
    <row r="61" spans="1:80">
      <c r="B61" s="372"/>
      <c r="C61" s="372"/>
      <c r="D61" s="372"/>
      <c r="E61" s="372"/>
      <c r="F61" s="372"/>
      <c r="G61" s="372"/>
      <c r="H61" s="372"/>
      <c r="I61" s="372"/>
      <c r="J61" s="372"/>
      <c r="K61" s="372"/>
      <c r="L61" s="372"/>
      <c r="M61" s="372"/>
      <c r="N61" s="372"/>
      <c r="O61" s="372"/>
      <c r="P61" s="372"/>
      <c r="Q61" s="372"/>
      <c r="R61" s="372"/>
      <c r="S61" s="372"/>
    </row>
    <row r="62" spans="1:80">
      <c r="B62" s="372"/>
      <c r="C62" s="372"/>
      <c r="D62" s="372"/>
      <c r="E62" s="372"/>
      <c r="F62" s="372"/>
      <c r="G62" s="372"/>
      <c r="H62" s="372"/>
      <c r="I62" s="372"/>
      <c r="J62" s="372"/>
      <c r="K62" s="372"/>
      <c r="L62" s="372"/>
      <c r="M62" s="372"/>
      <c r="N62" s="372"/>
      <c r="O62" s="372"/>
      <c r="P62" s="372"/>
      <c r="Q62" s="372"/>
      <c r="R62" s="372"/>
      <c r="S62" s="372"/>
    </row>
    <row r="63" spans="1:80">
      <c r="B63" s="372"/>
      <c r="C63" s="372"/>
      <c r="D63" s="372"/>
      <c r="E63" s="372"/>
      <c r="F63" s="372"/>
      <c r="G63" s="372"/>
      <c r="H63" s="372"/>
      <c r="I63" s="372"/>
      <c r="J63" s="372"/>
      <c r="K63" s="372"/>
      <c r="L63" s="372"/>
      <c r="M63" s="372"/>
      <c r="N63" s="372"/>
      <c r="O63" s="372"/>
      <c r="P63" s="372"/>
      <c r="Q63" s="372"/>
      <c r="R63" s="372"/>
      <c r="S63" s="372"/>
    </row>
    <row r="64" spans="1:80">
      <c r="B64" s="372"/>
      <c r="C64" s="372"/>
      <c r="D64" s="372"/>
      <c r="E64" s="372"/>
      <c r="F64" s="372"/>
      <c r="G64" s="372"/>
      <c r="H64" s="372"/>
      <c r="I64" s="372"/>
      <c r="J64" s="372"/>
      <c r="K64" s="372"/>
      <c r="L64" s="372"/>
      <c r="M64" s="372"/>
      <c r="N64" s="372"/>
      <c r="O64" s="372"/>
      <c r="P64" s="372"/>
      <c r="Q64" s="372"/>
      <c r="R64" s="372"/>
      <c r="S64" s="372"/>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theme="0"/>
  </sheetPr>
  <dimension ref="A1:M19"/>
  <sheetViews>
    <sheetView zoomScaleNormal="100" zoomScaleSheetLayoutView="100" workbookViewId="0">
      <selection activeCell="D1" sqref="D1"/>
    </sheetView>
  </sheetViews>
  <sheetFormatPr defaultColWidth="9.1328125" defaultRowHeight="13.15"/>
  <cols>
    <col min="1" max="1" width="7.59765625" style="318" customWidth="1"/>
    <col min="2" max="3" width="10.265625" style="32" bestFit="1" customWidth="1"/>
    <col min="4" max="4" width="6.73046875" style="32" bestFit="1" customWidth="1"/>
    <col min="5" max="5" width="11" style="4" customWidth="1"/>
    <col min="6" max="6" width="10.73046875" style="4" customWidth="1"/>
    <col min="7" max="8" width="9.1328125" style="4"/>
    <col min="9" max="9" width="15.3984375" style="4" customWidth="1"/>
    <col min="10" max="10" width="10.86328125" style="4" customWidth="1"/>
    <col min="11" max="11" width="6.265625" style="4" bestFit="1" customWidth="1"/>
    <col min="12" max="12" width="12.86328125" style="4" customWidth="1"/>
    <col min="13" max="16384" width="9.1328125" style="4"/>
  </cols>
  <sheetData>
    <row r="1" spans="1:13" ht="15.95" customHeight="1">
      <c r="A1" s="524" t="str">
        <f>IF(språk=lista[[#Headers],[Svenska]],"Innehåll",IF(språk=lista[[#Headers],[English]],"Contents","FEL"))</f>
        <v>Contents</v>
      </c>
    </row>
    <row r="2" spans="1:13" ht="15.95" customHeight="1">
      <c r="B2" s="606"/>
    </row>
    <row r="3" spans="1:13" ht="15.95" customHeight="1">
      <c r="A3" s="402" t="str">
        <f>IFERROR(INDEX(lista[],MATCH($A4,lista[ID],0),MATCH(språk,lista[#Headers],0)),"")</f>
        <v>Use of biomass, by fuel category, from 2005, GWh</v>
      </c>
      <c r="B3" s="402"/>
      <c r="C3" s="402"/>
      <c r="D3" s="402"/>
    </row>
    <row r="4" spans="1:13" ht="15.95" hidden="1" customHeight="1">
      <c r="A4" s="318">
        <v>55</v>
      </c>
      <c r="B4" s="32" t="s">
        <v>647</v>
      </c>
      <c r="C4" s="32" t="s">
        <v>648</v>
      </c>
      <c r="D4" s="32" t="s">
        <v>649</v>
      </c>
      <c r="E4" s="4" t="s">
        <v>650</v>
      </c>
      <c r="F4" s="4" t="s">
        <v>651</v>
      </c>
      <c r="G4" s="4" t="s">
        <v>652</v>
      </c>
      <c r="H4" s="4" t="s">
        <v>653</v>
      </c>
      <c r="I4" s="4" t="s">
        <v>654</v>
      </c>
      <c r="J4" s="4" t="s">
        <v>655</v>
      </c>
      <c r="K4" s="4" t="s">
        <v>656</v>
      </c>
      <c r="L4" s="4" t="s">
        <v>657</v>
      </c>
    </row>
    <row r="5" spans="1:13" s="1026" customFormat="1" ht="15.95" customHeight="1">
      <c r="A5" s="1029"/>
      <c r="B5" s="1027"/>
      <c r="C5" s="1027"/>
      <c r="D5" s="1027"/>
    </row>
    <row r="6" spans="1:13" ht="26.25">
      <c r="A6" s="184"/>
      <c r="B6" s="185" t="str">
        <f>IFERROR(INDEX(_8.2[],MATCH(språk,_8.2[[id]:[id]],0),MATCH(B$4,_8.2[#Headers],0)),"")</f>
        <v>Densified wood fuel</v>
      </c>
      <c r="C6" s="185" t="str">
        <f>IFERROR(INDEX(_8.2[],MATCH(språk,_8.2[[id]:[id]],0),MATCH(C$4,_8.2[#Headers],0)),"")</f>
        <v>Undensified wood fuel</v>
      </c>
      <c r="D6" s="185" t="str">
        <f>IFERROR(INDEX(_8.2[],MATCH(språk,_8.2[[id]:[id]],0),MATCH(D$4,_8.2[#Headers],0)),"")</f>
        <v>Black liquor</v>
      </c>
      <c r="E6" s="185" t="str">
        <f>IFERROR(INDEX(_8.2[],MATCH(språk,_8.2[[id]:[id]],0),MATCH(E$4,_8.2[#Headers],0)),"")</f>
        <v>Other solid biofuels</v>
      </c>
      <c r="F6" s="185" t="str">
        <f>IFERROR(INDEX(_8.2[],MATCH(språk,_8.2[[id]:[id]],0),MATCH(F$4,_8.2[#Headers],0)),"")</f>
        <v>Bioethanol</v>
      </c>
      <c r="G6" s="185" t="str">
        <f>IFERROR(INDEX(_8.2[],MATCH(språk,_8.2[[id]:[id]],0),MATCH(G$4,_8.2[#Headers],0)),"")</f>
        <v>Biodiesel</v>
      </c>
      <c r="H6" s="185" t="str">
        <f>IFERROR(INDEX(_8.2[],MATCH(språk,_8.2[[id]:[id]],0),MATCH(H$4,_8.2[#Headers],0)),"")</f>
        <v>Tall oil pitch</v>
      </c>
      <c r="I6" s="185" t="str">
        <f>IFERROR(INDEX(_8.2[],MATCH(språk,_8.2[[id]:[id]],0),MATCH(I$4,_8.2[#Headers],0)),"")</f>
        <v>Vegetable and animal oils</v>
      </c>
      <c r="J6" s="185" t="str">
        <f>IFERROR(INDEX(_8.2[],MATCH(språk,_8.2[[id]:[id]],0),MATCH(J$4,_8.2[#Headers],0)),"")</f>
        <v>Other bioliquids</v>
      </c>
      <c r="K6" s="185" t="str">
        <f>IFERROR(INDEX(_8.2[],MATCH(språk,_8.2[[id]:[id]],0),MATCH(K$4,_8.2[#Headers],0)),"")</f>
        <v>Biogas</v>
      </c>
      <c r="L6" s="185" t="str">
        <f>IFERROR(INDEX(_8.2[],MATCH(språk,_8.2[[id]:[id]],0),MATCH(L$4,_8.2[#Headers],0)),"")</f>
        <v>Municipal waste - bio</v>
      </c>
      <c r="M6" s="235" t="str">
        <f>IF(språk=lista[[#Headers],[Svenska]],"Totalt",IF(språk=lista[[#Headers],[English]],"Total","FEL"))</f>
        <v>Total</v>
      </c>
    </row>
    <row r="7" spans="1:13" ht="15.95" customHeight="1">
      <c r="A7" s="811">
        <v>2005</v>
      </c>
      <c r="B7" s="812">
        <v>8424</v>
      </c>
      <c r="C7" s="812">
        <v>45532</v>
      </c>
      <c r="D7" s="812">
        <v>39474</v>
      </c>
      <c r="E7" s="812">
        <v>658</v>
      </c>
      <c r="F7" s="812">
        <v>1674</v>
      </c>
      <c r="G7" s="812">
        <v>97</v>
      </c>
      <c r="H7" s="812">
        <v>2735</v>
      </c>
      <c r="I7" s="812">
        <v>980</v>
      </c>
      <c r="J7" s="812">
        <v>0</v>
      </c>
      <c r="K7" s="812">
        <v>413</v>
      </c>
      <c r="L7" s="812">
        <v>5228</v>
      </c>
      <c r="M7" s="813">
        <v>105215</v>
      </c>
    </row>
    <row r="8" spans="1:13" ht="15.95" customHeight="1">
      <c r="A8" s="186">
        <v>2006</v>
      </c>
      <c r="B8" s="607">
        <v>9807</v>
      </c>
      <c r="C8" s="607">
        <v>46659</v>
      </c>
      <c r="D8" s="607">
        <v>38222</v>
      </c>
      <c r="E8" s="607">
        <v>912</v>
      </c>
      <c r="F8" s="607">
        <v>1916</v>
      </c>
      <c r="G8" s="607">
        <v>589</v>
      </c>
      <c r="H8" s="607">
        <v>3038</v>
      </c>
      <c r="I8" s="607">
        <v>1971</v>
      </c>
      <c r="J8" s="607">
        <v>60</v>
      </c>
      <c r="K8" s="607">
        <v>496</v>
      </c>
      <c r="L8" s="607">
        <v>5391</v>
      </c>
      <c r="M8" s="608">
        <v>109060</v>
      </c>
    </row>
    <row r="9" spans="1:13" ht="15.95" customHeight="1">
      <c r="A9" s="811">
        <v>2007</v>
      </c>
      <c r="B9" s="812">
        <v>8815</v>
      </c>
      <c r="C9" s="812">
        <v>47907</v>
      </c>
      <c r="D9" s="812">
        <v>41289</v>
      </c>
      <c r="E9" s="812">
        <v>728</v>
      </c>
      <c r="F9" s="812">
        <v>2203</v>
      </c>
      <c r="G9" s="812">
        <v>1199</v>
      </c>
      <c r="H9" s="812">
        <v>2491</v>
      </c>
      <c r="I9" s="812">
        <v>1656</v>
      </c>
      <c r="J9" s="812">
        <v>182</v>
      </c>
      <c r="K9" s="812">
        <v>685</v>
      </c>
      <c r="L9" s="812">
        <v>6310</v>
      </c>
      <c r="M9" s="813">
        <v>113465</v>
      </c>
    </row>
    <row r="10" spans="1:13" ht="15.95" customHeight="1">
      <c r="A10" s="186">
        <v>2008</v>
      </c>
      <c r="B10" s="607">
        <v>9084</v>
      </c>
      <c r="C10" s="607">
        <v>48789</v>
      </c>
      <c r="D10" s="607">
        <v>40287</v>
      </c>
      <c r="E10" s="607">
        <v>1078</v>
      </c>
      <c r="F10" s="607">
        <v>2456</v>
      </c>
      <c r="G10" s="607">
        <v>1508</v>
      </c>
      <c r="H10" s="607">
        <v>2851</v>
      </c>
      <c r="I10" s="607">
        <v>1288</v>
      </c>
      <c r="J10" s="607">
        <v>216</v>
      </c>
      <c r="K10" s="607">
        <v>442</v>
      </c>
      <c r="L10" s="607">
        <v>7422</v>
      </c>
      <c r="M10" s="608">
        <v>115422</v>
      </c>
    </row>
    <row r="11" spans="1:13" ht="15.95" customHeight="1">
      <c r="A11" s="811">
        <v>2009</v>
      </c>
      <c r="B11" s="812">
        <v>11888</v>
      </c>
      <c r="C11" s="812">
        <v>49042</v>
      </c>
      <c r="D11" s="812">
        <v>40108</v>
      </c>
      <c r="E11" s="812">
        <v>706</v>
      </c>
      <c r="F11" s="812">
        <v>2271</v>
      </c>
      <c r="G11" s="812">
        <v>1878</v>
      </c>
      <c r="H11" s="812">
        <v>3110</v>
      </c>
      <c r="I11" s="812">
        <v>1823</v>
      </c>
      <c r="J11" s="812">
        <v>194</v>
      </c>
      <c r="K11" s="812">
        <v>877</v>
      </c>
      <c r="L11" s="812">
        <v>7086</v>
      </c>
      <c r="M11" s="813">
        <v>118984</v>
      </c>
    </row>
    <row r="12" spans="1:13" ht="15.95" customHeight="1">
      <c r="A12" s="188">
        <v>2010</v>
      </c>
      <c r="B12" s="609">
        <v>12081</v>
      </c>
      <c r="C12" s="609">
        <v>53812</v>
      </c>
      <c r="D12" s="609">
        <v>40782</v>
      </c>
      <c r="E12" s="609">
        <v>1349</v>
      </c>
      <c r="F12" s="609">
        <v>2333</v>
      </c>
      <c r="G12" s="609">
        <v>2062</v>
      </c>
      <c r="H12" s="609">
        <v>3499</v>
      </c>
      <c r="I12" s="609">
        <v>2253</v>
      </c>
      <c r="J12" s="609">
        <v>277</v>
      </c>
      <c r="K12" s="609">
        <v>1003</v>
      </c>
      <c r="L12" s="609">
        <v>8002</v>
      </c>
      <c r="M12" s="610">
        <v>127452</v>
      </c>
    </row>
    <row r="13" spans="1:13" ht="15.95" customHeight="1">
      <c r="A13" s="845">
        <v>2011</v>
      </c>
      <c r="B13" s="873">
        <v>9460</v>
      </c>
      <c r="C13" s="873">
        <v>52198</v>
      </c>
      <c r="D13" s="873">
        <v>40515</v>
      </c>
      <c r="E13" s="873">
        <v>1869</v>
      </c>
      <c r="F13" s="873">
        <v>2419</v>
      </c>
      <c r="G13" s="873">
        <v>2720</v>
      </c>
      <c r="H13" s="873">
        <v>3324</v>
      </c>
      <c r="I13" s="873">
        <v>1013</v>
      </c>
      <c r="J13" s="873">
        <v>304</v>
      </c>
      <c r="K13" s="873">
        <v>1051</v>
      </c>
      <c r="L13" s="873">
        <v>8316</v>
      </c>
      <c r="M13" s="874">
        <v>123190</v>
      </c>
    </row>
    <row r="14" spans="1:13" ht="15.95" customHeight="1">
      <c r="A14" s="58">
        <v>2012</v>
      </c>
      <c r="B14" s="611">
        <v>10273</v>
      </c>
      <c r="C14" s="611">
        <v>53996</v>
      </c>
      <c r="D14" s="611">
        <v>41968</v>
      </c>
      <c r="E14" s="611">
        <v>1842</v>
      </c>
      <c r="F14" s="611">
        <v>2356</v>
      </c>
      <c r="G14" s="611">
        <v>3735</v>
      </c>
      <c r="H14" s="611">
        <v>2878</v>
      </c>
      <c r="I14" s="611">
        <v>1416</v>
      </c>
      <c r="J14" s="611">
        <v>233</v>
      </c>
      <c r="K14" s="611">
        <v>1140</v>
      </c>
      <c r="L14" s="611">
        <v>8972</v>
      </c>
      <c r="M14" s="612">
        <v>128809</v>
      </c>
    </row>
    <row r="15" spans="1:13" ht="15.95" customHeight="1">
      <c r="A15" s="845">
        <v>2013</v>
      </c>
      <c r="B15" s="873">
        <v>10405</v>
      </c>
      <c r="C15" s="873">
        <v>52647</v>
      </c>
      <c r="D15" s="873">
        <v>42210</v>
      </c>
      <c r="E15" s="873">
        <v>1619</v>
      </c>
      <c r="F15" s="873">
        <v>2079</v>
      </c>
      <c r="G15" s="873">
        <v>5417</v>
      </c>
      <c r="H15" s="873">
        <v>2833</v>
      </c>
      <c r="I15" s="873">
        <v>1629</v>
      </c>
      <c r="J15" s="873">
        <v>156</v>
      </c>
      <c r="K15" s="873">
        <v>1295</v>
      </c>
      <c r="L15" s="873">
        <v>9549</v>
      </c>
      <c r="M15" s="874">
        <v>129838</v>
      </c>
    </row>
    <row r="16" spans="1:13" ht="15.95" customHeight="1">
      <c r="A16" s="58">
        <v>2014</v>
      </c>
      <c r="B16" s="611">
        <v>8231</v>
      </c>
      <c r="C16" s="611">
        <v>51871</v>
      </c>
      <c r="D16" s="611">
        <v>42945</v>
      </c>
      <c r="E16" s="611">
        <v>1555</v>
      </c>
      <c r="F16" s="611">
        <v>1917</v>
      </c>
      <c r="G16" s="611">
        <v>8111</v>
      </c>
      <c r="H16" s="611">
        <v>3012</v>
      </c>
      <c r="I16" s="611">
        <v>820</v>
      </c>
      <c r="J16" s="611">
        <v>588</v>
      </c>
      <c r="K16" s="611">
        <v>1307</v>
      </c>
      <c r="L16" s="611">
        <v>9975</v>
      </c>
      <c r="M16" s="612">
        <v>130333</v>
      </c>
    </row>
    <row r="17" spans="1:13" ht="15.95" customHeight="1">
      <c r="A17" s="845">
        <v>2015</v>
      </c>
      <c r="B17" s="873">
        <v>8282</v>
      </c>
      <c r="C17" s="873">
        <v>52432</v>
      </c>
      <c r="D17" s="873">
        <v>44277</v>
      </c>
      <c r="E17" s="873">
        <v>1176</v>
      </c>
      <c r="F17" s="873">
        <v>1550</v>
      </c>
      <c r="G17" s="873">
        <v>10523</v>
      </c>
      <c r="H17" s="873">
        <v>2533</v>
      </c>
      <c r="I17" s="873">
        <v>629</v>
      </c>
      <c r="J17" s="873">
        <v>227</v>
      </c>
      <c r="K17" s="873">
        <v>1333</v>
      </c>
      <c r="L17" s="873">
        <v>10582</v>
      </c>
      <c r="M17" s="874">
        <v>133544</v>
      </c>
    </row>
    <row r="18" spans="1:13" ht="15.95" customHeight="1">
      <c r="A18" s="4"/>
      <c r="B18" s="218"/>
      <c r="C18" s="218"/>
      <c r="D18" s="611"/>
      <c r="E18" s="218"/>
      <c r="F18" s="218"/>
      <c r="G18" s="218"/>
      <c r="H18" s="218"/>
      <c r="I18" s="218"/>
      <c r="J18" s="218"/>
      <c r="K18" s="218"/>
      <c r="L18" s="218"/>
      <c r="M18" s="218"/>
    </row>
    <row r="19" spans="1:13" ht="15.95" customHeight="1">
      <c r="A19" s="318" t="s">
        <v>220</v>
      </c>
    </row>
  </sheetData>
  <hyperlinks>
    <hyperlink ref="A1" location="Innehåll!A1" display="Innehåll"/>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sheetPr>
  <dimension ref="A1:L27"/>
  <sheetViews>
    <sheetView showGridLines="0" zoomScaleNormal="100" zoomScaleSheetLayoutView="100" workbookViewId="0">
      <pane ySplit="6" topLeftCell="A7" activePane="bottomLeft" state="frozen"/>
      <selection pane="bottomLeft" activeCell="C1" sqref="C1"/>
    </sheetView>
  </sheetViews>
  <sheetFormatPr defaultColWidth="9.1328125" defaultRowHeight="14.25"/>
  <cols>
    <col min="1" max="1" width="8.59765625" style="441" customWidth="1"/>
    <col min="2" max="4" width="15.73046875" style="441" customWidth="1"/>
    <col min="5" max="16384" width="9.1328125" style="441"/>
  </cols>
  <sheetData>
    <row r="1" spans="1:12" ht="15.95" customHeight="1">
      <c r="A1" s="524" t="str">
        <f>IF(språk=lista[[#Headers],[Svenska]],"Innehåll",IF(språk=lista[[#Headers],[English]],"Contents","FEL"))</f>
        <v>Contents</v>
      </c>
    </row>
    <row r="2" spans="1:12" ht="15.95" customHeight="1"/>
    <row r="3" spans="1:12" ht="35.25" customHeight="1">
      <c r="A3" s="1066" t="str">
        <f>IFERROR(INDEX(lista[],MATCH($A5,lista[ID],0),MATCH(språk,lista[#Headers],0)),"")</f>
        <v>Use of undensified and densified wood fuels in the residential and services sector, from 1997, TWh</v>
      </c>
      <c r="B3" s="1066"/>
      <c r="C3" s="1066"/>
      <c r="D3" s="1066"/>
    </row>
    <row r="4" spans="1:12" ht="15.95" customHeight="1">
      <c r="A4" s="442"/>
      <c r="F4" s="579"/>
      <c r="G4" s="579"/>
      <c r="H4" s="579"/>
      <c r="I4" s="579"/>
      <c r="J4" s="579"/>
      <c r="K4" s="579"/>
      <c r="L4" s="579"/>
    </row>
    <row r="5" spans="1:12" ht="15.95" hidden="1" customHeight="1">
      <c r="A5" s="441">
        <v>56</v>
      </c>
      <c r="B5" s="441" t="s">
        <v>647</v>
      </c>
      <c r="C5" s="441" t="s">
        <v>648</v>
      </c>
      <c r="F5" s="579"/>
      <c r="G5" s="579"/>
      <c r="H5" s="579"/>
      <c r="I5" s="579"/>
      <c r="J5" s="579"/>
      <c r="K5" s="579"/>
      <c r="L5" s="579"/>
    </row>
    <row r="6" spans="1:12" ht="27.95" customHeight="1">
      <c r="A6" s="412"/>
      <c r="B6" s="413" t="str">
        <f>IFERROR(INDEX(_8.3[],MATCH(språk,_8.3[[id]:[id]],0),MATCH(B$5,_8.3[#Headers],0)),"")</f>
        <v>Densified wood fuel</v>
      </c>
      <c r="C6" s="413" t="str">
        <f>IFERROR(INDEX(_8.3[],MATCH(språk,_8.3[[id]:[id]],0),MATCH(C$5,_8.3[#Headers],0)),"")</f>
        <v>Undensified wood fuel</v>
      </c>
      <c r="D6" s="235" t="str">
        <f>IF(språk=lista[[#Headers],[Svenska]],"Totalt",IF(språk=lista[[#Headers],[English]],"Total","FEL"))</f>
        <v>Total</v>
      </c>
      <c r="F6" s="579"/>
      <c r="G6" s="579"/>
      <c r="H6" s="579"/>
      <c r="I6" s="579"/>
      <c r="J6" s="579"/>
      <c r="K6" s="579"/>
      <c r="L6" s="579"/>
    </row>
    <row r="7" spans="1:12" ht="15.95" customHeight="1">
      <c r="A7" s="870">
        <v>1997</v>
      </c>
      <c r="B7" s="871">
        <v>0.18720000000000001</v>
      </c>
      <c r="C7" s="871">
        <v>10.814466666666666</v>
      </c>
      <c r="D7" s="872">
        <v>11.001666666666667</v>
      </c>
      <c r="F7" s="579"/>
      <c r="G7" s="579"/>
      <c r="H7" s="579"/>
      <c r="I7" s="579"/>
      <c r="J7" s="579"/>
      <c r="K7" s="579"/>
      <c r="L7" s="579"/>
    </row>
    <row r="8" spans="1:12" ht="15.95" customHeight="1">
      <c r="A8" s="443">
        <v>1998</v>
      </c>
      <c r="B8" s="444">
        <v>0.27839999999999998</v>
      </c>
      <c r="C8" s="444">
        <v>10.537433333333334</v>
      </c>
      <c r="D8" s="445">
        <v>10.815833333333334</v>
      </c>
      <c r="F8" s="579"/>
      <c r="G8" s="579"/>
      <c r="H8" s="579"/>
      <c r="I8" s="579"/>
      <c r="J8" s="579"/>
      <c r="K8" s="579"/>
      <c r="L8" s="579"/>
    </row>
    <row r="9" spans="1:12" ht="15.95" customHeight="1">
      <c r="A9" s="870">
        <v>1999</v>
      </c>
      <c r="B9" s="871">
        <v>0.38879999999999998</v>
      </c>
      <c r="C9" s="871">
        <v>9.8195333333333341</v>
      </c>
      <c r="D9" s="872">
        <v>10.208333333333334</v>
      </c>
      <c r="I9" s="579"/>
      <c r="J9" s="579"/>
      <c r="K9" s="579"/>
      <c r="L9" s="579"/>
    </row>
    <row r="10" spans="1:12" ht="15.95" customHeight="1">
      <c r="A10" s="443">
        <v>2000</v>
      </c>
      <c r="B10" s="444">
        <v>0.38400000000000001</v>
      </c>
      <c r="C10" s="444">
        <v>9.9223888888888894</v>
      </c>
      <c r="D10" s="445">
        <v>10.30638888888889</v>
      </c>
      <c r="I10" s="579"/>
      <c r="J10" s="579"/>
      <c r="K10" s="579"/>
      <c r="L10" s="579"/>
    </row>
    <row r="11" spans="1:12" ht="15.95" customHeight="1">
      <c r="A11" s="870">
        <v>2001</v>
      </c>
      <c r="B11" s="871">
        <v>0.72</v>
      </c>
      <c r="C11" s="871">
        <v>10.100555555555555</v>
      </c>
      <c r="D11" s="872">
        <v>10.820555555555556</v>
      </c>
      <c r="I11" s="579"/>
      <c r="J11" s="579"/>
      <c r="K11" s="579"/>
      <c r="L11" s="579"/>
    </row>
    <row r="12" spans="1:12" ht="15.95" customHeight="1">
      <c r="A12" s="443">
        <v>2002</v>
      </c>
      <c r="B12" s="444">
        <v>1.1279999999999999</v>
      </c>
      <c r="C12" s="444">
        <v>10.172000000000001</v>
      </c>
      <c r="D12" s="445">
        <v>11.3</v>
      </c>
      <c r="I12" s="579"/>
      <c r="J12" s="579"/>
      <c r="K12" s="579"/>
      <c r="L12" s="579"/>
    </row>
    <row r="13" spans="1:12" ht="15.95" customHeight="1">
      <c r="A13" s="870">
        <v>2003</v>
      </c>
      <c r="B13" s="871">
        <v>1.4256</v>
      </c>
      <c r="C13" s="871">
        <v>11.414400000000001</v>
      </c>
      <c r="D13" s="872">
        <v>12.84</v>
      </c>
    </row>
    <row r="14" spans="1:12" ht="15.95" customHeight="1">
      <c r="A14" s="443">
        <v>2004</v>
      </c>
      <c r="B14" s="444">
        <v>1.6559999999999999</v>
      </c>
      <c r="C14" s="444">
        <v>10.927055555555555</v>
      </c>
      <c r="D14" s="445">
        <v>12.583055555555555</v>
      </c>
    </row>
    <row r="15" spans="1:12" ht="15.95" customHeight="1">
      <c r="A15" s="870">
        <v>2005</v>
      </c>
      <c r="B15" s="871">
        <v>1.94</v>
      </c>
      <c r="C15" s="871">
        <v>11.1</v>
      </c>
      <c r="D15" s="872">
        <v>13.03</v>
      </c>
    </row>
    <row r="16" spans="1:12" ht="15.95" customHeight="1">
      <c r="A16" s="443">
        <v>2006</v>
      </c>
      <c r="B16" s="444">
        <v>2.41</v>
      </c>
      <c r="C16" s="444">
        <v>9.91</v>
      </c>
      <c r="D16" s="445">
        <v>12.32</v>
      </c>
    </row>
    <row r="17" spans="1:4" ht="15.95" customHeight="1">
      <c r="A17" s="870">
        <v>2007</v>
      </c>
      <c r="B17" s="871">
        <v>2.86</v>
      </c>
      <c r="C17" s="871">
        <v>10.51</v>
      </c>
      <c r="D17" s="872">
        <v>13.38</v>
      </c>
    </row>
    <row r="18" spans="1:4" ht="15.95" customHeight="1">
      <c r="A18" s="443">
        <v>2008</v>
      </c>
      <c r="B18" s="444">
        <v>2.83</v>
      </c>
      <c r="C18" s="444">
        <v>10.8</v>
      </c>
      <c r="D18" s="445">
        <v>13.63</v>
      </c>
    </row>
    <row r="19" spans="1:4" ht="15.95" customHeight="1">
      <c r="A19" s="870">
        <v>2009</v>
      </c>
      <c r="B19" s="871">
        <v>3.5</v>
      </c>
      <c r="C19" s="871">
        <v>11.11</v>
      </c>
      <c r="D19" s="872">
        <v>14.61</v>
      </c>
    </row>
    <row r="20" spans="1:4" ht="15.95" customHeight="1">
      <c r="A20" s="443">
        <v>2010</v>
      </c>
      <c r="B20" s="444">
        <v>3.28</v>
      </c>
      <c r="C20" s="444">
        <v>11.13</v>
      </c>
      <c r="D20" s="445">
        <v>14.41</v>
      </c>
    </row>
    <row r="21" spans="1:4" ht="15.95" customHeight="1">
      <c r="A21" s="870">
        <v>2011</v>
      </c>
      <c r="B21" s="871">
        <v>3.38</v>
      </c>
      <c r="C21" s="871">
        <v>11.37</v>
      </c>
      <c r="D21" s="872">
        <v>14.75</v>
      </c>
    </row>
    <row r="22" spans="1:4">
      <c r="A22" s="451">
        <v>2012</v>
      </c>
      <c r="B22" s="452">
        <v>3.52</v>
      </c>
      <c r="C22" s="452">
        <v>10.92</v>
      </c>
      <c r="D22" s="445">
        <v>14.44</v>
      </c>
    </row>
    <row r="23" spans="1:4">
      <c r="A23" s="870">
        <v>2013</v>
      </c>
      <c r="B23" s="871">
        <v>3.36</v>
      </c>
      <c r="C23" s="871">
        <v>10.92</v>
      </c>
      <c r="D23" s="872">
        <v>14.29</v>
      </c>
    </row>
    <row r="24" spans="1:4">
      <c r="A24" s="451">
        <v>2014</v>
      </c>
      <c r="B24" s="452">
        <v>2.76</v>
      </c>
      <c r="C24" s="452">
        <v>10.55</v>
      </c>
      <c r="D24" s="445">
        <v>13.31</v>
      </c>
    </row>
    <row r="25" spans="1:4">
      <c r="A25" s="870">
        <v>2015</v>
      </c>
      <c r="B25" s="871">
        <v>2.76</v>
      </c>
      <c r="C25" s="871">
        <v>10.49</v>
      </c>
      <c r="D25" s="872">
        <v>13.25</v>
      </c>
    </row>
    <row r="27" spans="1:4">
      <c r="A27" s="298"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tabColor theme="0"/>
  </sheetPr>
  <dimension ref="A1:L121"/>
  <sheetViews>
    <sheetView zoomScaleNormal="100" workbookViewId="0">
      <selection activeCell="B1" sqref="B1"/>
    </sheetView>
  </sheetViews>
  <sheetFormatPr defaultColWidth="9.1328125" defaultRowHeight="13.15"/>
  <cols>
    <col min="1" max="1" width="10.86328125" style="192" customWidth="1"/>
    <col min="2" max="5" width="10.73046875" style="192" customWidth="1"/>
    <col min="6" max="10" width="10.73046875" style="107" customWidth="1"/>
    <col min="11" max="16384" width="9.1328125" style="107"/>
  </cols>
  <sheetData>
    <row r="1" spans="1:12" ht="15.95" customHeight="1">
      <c r="A1" s="524" t="str">
        <f>IF(språk=lista[[#Headers],[Svenska]],"Innehåll",IF(språk=lista[[#Headers],[English]],"Contents","FEL"))</f>
        <v>Contents</v>
      </c>
    </row>
    <row r="2" spans="1:12" ht="15.95" customHeight="1"/>
    <row r="3" spans="1:12" ht="15.95" customHeight="1">
      <c r="A3" s="230" t="str">
        <f>IFERROR(INDEX(lista[],MATCH($A5,lista[ID],0),MATCH(språk,lista[#Headers],0)),"")</f>
        <v>FAME used in Sweden, by country of origin, from 2011, sustainable volume (m3)</v>
      </c>
      <c r="E3" s="190"/>
    </row>
    <row r="4" spans="1:12" ht="15.95" customHeight="1">
      <c r="A4" s="230"/>
      <c r="E4" s="190"/>
    </row>
    <row r="5" spans="1:12" ht="15.95" hidden="1" customHeight="1">
      <c r="A5" s="230">
        <v>57</v>
      </c>
      <c r="B5" s="192" t="s">
        <v>647</v>
      </c>
      <c r="C5" s="192" t="s">
        <v>648</v>
      </c>
      <c r="D5" s="192" t="s">
        <v>649</v>
      </c>
      <c r="E5" s="190" t="s">
        <v>650</v>
      </c>
      <c r="F5" s="107" t="s">
        <v>651</v>
      </c>
      <c r="G5" s="107" t="s">
        <v>652</v>
      </c>
      <c r="H5" s="107" t="s">
        <v>653</v>
      </c>
      <c r="I5" s="107" t="s">
        <v>654</v>
      </c>
      <c r="J5" s="107" t="s">
        <v>655</v>
      </c>
      <c r="K5" s="107" t="s">
        <v>656</v>
      </c>
    </row>
    <row r="6" spans="1:12" ht="15.95" customHeight="1">
      <c r="A6" s="946"/>
      <c r="B6" s="947" t="str">
        <f>IFERROR(INDEX(_8.4[],MATCH(språk,_8.4[[id]:[id]],0),MATCH(B$5,_8.4[#Headers],0)),"")</f>
        <v>Australia</v>
      </c>
      <c r="C6" s="947" t="str">
        <f>IFERROR(INDEX(_8.4[],MATCH(språk,_8.4[[id]:[id]],0),MATCH(C$5,_8.4[#Headers],0)),"")</f>
        <v>Denmark</v>
      </c>
      <c r="D6" s="947" t="str">
        <f>IFERROR(INDEX(_8.4[],MATCH(språk,_8.4[[id]:[id]],0),MATCH(D$5,_8.4[#Headers],0)),"")</f>
        <v>Latvia</v>
      </c>
      <c r="E6" s="947" t="str">
        <f>IFERROR(INDEX(_8.4[],MATCH(språk,_8.4[[id]:[id]],0),MATCH(E$5,_8.4[#Headers],0)),"")</f>
        <v>Lithuania</v>
      </c>
      <c r="F6" s="947" t="str">
        <f>IFERROR(INDEX(_8.4[],MATCH(språk,_8.4[[id]:[id]],0),MATCH(F$5,_8.4[#Headers],0)),"")</f>
        <v>Poland</v>
      </c>
      <c r="G6" s="947" t="str">
        <f>IFERROR(INDEX(_8.4[],MATCH(språk,_8.4[[id]:[id]],0),MATCH(G$5,_8.4[#Headers],0)),"")</f>
        <v>Ukraine</v>
      </c>
      <c r="H6" s="947" t="str">
        <f>IFERROR(INDEX(_8.4[],MATCH(språk,_8.4[[id]:[id]],0),MATCH(H$5,_8.4[#Headers],0)),"")</f>
        <v>Germany</v>
      </c>
      <c r="I6" s="947" t="str">
        <f>IFERROR(INDEX(_8.4[],MATCH(språk,_8.4[[id]:[id]],0),MATCH(I$5,_8.4[#Headers],0)),"")</f>
        <v>Sweden</v>
      </c>
      <c r="J6" s="947" t="str">
        <f>IFERROR(INDEX(_8.4[],MATCH(språk,_8.4[[id]:[id]],0),MATCH(J$5,_8.4[#Headers],0)),"")</f>
        <v>Russia</v>
      </c>
      <c r="K6" s="947" t="str">
        <f>IFERROR(INDEX(_8.4[],MATCH(språk,_8.4[[id]:[id]],0),MATCH(K$5,_8.4[#Headers],0)),"")</f>
        <v>Other</v>
      </c>
      <c r="L6" s="235" t="str">
        <f>IF(språk=lista[[#Headers],[Svenska]],"Totalt",IF(språk=lista[[#Headers],[English]],"Total","FEL"))</f>
        <v>Total</v>
      </c>
    </row>
    <row r="7" spans="1:12" ht="15.95" customHeight="1">
      <c r="A7" s="948">
        <v>2011</v>
      </c>
      <c r="B7" s="949"/>
      <c r="C7" s="949">
        <v>58489.818773224753</v>
      </c>
      <c r="D7" s="949">
        <v>3918.308</v>
      </c>
      <c r="E7" s="949">
        <v>51749.59000116682</v>
      </c>
      <c r="F7" s="949"/>
      <c r="G7" s="949">
        <v>50843.01639278161</v>
      </c>
      <c r="H7" s="949">
        <v>32192.335193177179</v>
      </c>
      <c r="I7" s="949">
        <v>5909.6639999999998</v>
      </c>
      <c r="J7" s="949">
        <v>2963.9540000000002</v>
      </c>
      <c r="K7" s="949">
        <v>33626.33595878887</v>
      </c>
      <c r="L7" s="950">
        <v>239693.02231913921</v>
      </c>
    </row>
    <row r="8" spans="1:12" ht="15.95" customHeight="1">
      <c r="A8" s="951">
        <v>2012</v>
      </c>
      <c r="B8" s="952">
        <v>20610.851600000002</v>
      </c>
      <c r="C8" s="952">
        <v>70313.132106510486</v>
      </c>
      <c r="D8" s="952">
        <v>8904.5599585068558</v>
      </c>
      <c r="E8" s="952">
        <v>70950.002130914087</v>
      </c>
      <c r="F8" s="952">
        <v>4097.9638072533635</v>
      </c>
      <c r="G8" s="952">
        <v>3512.3</v>
      </c>
      <c r="H8" s="952">
        <v>46829.688787334831</v>
      </c>
      <c r="I8" s="952">
        <v>10826</v>
      </c>
      <c r="J8" s="952">
        <v>6324.4185599999992</v>
      </c>
      <c r="K8" s="952">
        <v>59427.224980308209</v>
      </c>
      <c r="L8" s="953">
        <v>301796.14193082781</v>
      </c>
    </row>
    <row r="9" spans="1:12" ht="15.95" customHeight="1">
      <c r="A9" s="948">
        <v>2013</v>
      </c>
      <c r="B9" s="949">
        <v>72532.142618376165</v>
      </c>
      <c r="C9" s="949">
        <v>64739.77622413011</v>
      </c>
      <c r="D9" s="949">
        <v>10320.858762999998</v>
      </c>
      <c r="E9" s="949">
        <v>60064.782065003397</v>
      </c>
      <c r="F9" s="949">
        <v>24820.434018224336</v>
      </c>
      <c r="G9" s="949">
        <v>22471.536715717266</v>
      </c>
      <c r="H9" s="949">
        <v>16649.535228939709</v>
      </c>
      <c r="I9" s="949">
        <v>16198.2</v>
      </c>
      <c r="J9" s="949">
        <v>7479.1019999999999</v>
      </c>
      <c r="K9" s="949">
        <v>30875.757939610165</v>
      </c>
      <c r="L9" s="950">
        <v>326152.12557300116</v>
      </c>
    </row>
    <row r="10" spans="1:12" ht="15.95" customHeight="1">
      <c r="A10" s="951">
        <v>2014</v>
      </c>
      <c r="B10" s="952">
        <v>73792.39573322401</v>
      </c>
      <c r="C10" s="952">
        <v>85207.906859448092</v>
      </c>
      <c r="D10" s="952">
        <v>24056.903890086291</v>
      </c>
      <c r="E10" s="952">
        <v>64092.208999999995</v>
      </c>
      <c r="F10" s="952">
        <v>6804.8199999999988</v>
      </c>
      <c r="G10" s="952">
        <v>34470.997887174453</v>
      </c>
      <c r="H10" s="952">
        <v>65802.757293464703</v>
      </c>
      <c r="I10" s="952">
        <v>30281.47</v>
      </c>
      <c r="J10" s="952">
        <v>30846.453148858214</v>
      </c>
      <c r="K10" s="952">
        <v>19173.459999999963</v>
      </c>
      <c r="L10" s="953">
        <v>434529.37381225574</v>
      </c>
    </row>
    <row r="11" spans="1:12" ht="15.95" customHeight="1">
      <c r="A11" s="948">
        <v>2015</v>
      </c>
      <c r="B11" s="949">
        <v>43504.568643926905</v>
      </c>
      <c r="C11" s="949">
        <v>68178.408997709834</v>
      </c>
      <c r="D11" s="949">
        <v>37967.981198139445</v>
      </c>
      <c r="E11" s="949">
        <v>57468.542058695522</v>
      </c>
      <c r="F11" s="949">
        <v>6410.1297923522543</v>
      </c>
      <c r="G11" s="949">
        <v>24585.659794680549</v>
      </c>
      <c r="H11" s="949">
        <v>114201.12070743796</v>
      </c>
      <c r="I11" s="949">
        <v>25466.17</v>
      </c>
      <c r="J11" s="949">
        <v>31064</v>
      </c>
      <c r="K11" s="949">
        <v>32690.559891005629</v>
      </c>
      <c r="L11" s="950">
        <v>441537.14108394808</v>
      </c>
    </row>
    <row r="12" spans="1:12" s="1028" customFormat="1" ht="15.95" customHeight="1">
      <c r="A12" s="1036">
        <v>2016</v>
      </c>
      <c r="B12" s="1037">
        <v>11104</v>
      </c>
      <c r="C12" s="1037">
        <v>53071</v>
      </c>
      <c r="D12" s="1037">
        <v>33831</v>
      </c>
      <c r="E12" s="1037">
        <v>56113</v>
      </c>
      <c r="F12" s="1037">
        <v>11692</v>
      </c>
      <c r="G12" s="1037">
        <v>10409</v>
      </c>
      <c r="H12" s="1037">
        <v>71963</v>
      </c>
      <c r="I12" s="1037">
        <v>6599</v>
      </c>
      <c r="J12" s="1037">
        <v>13204</v>
      </c>
      <c r="K12" s="1037">
        <v>56539</v>
      </c>
      <c r="L12" s="1038">
        <v>324525</v>
      </c>
    </row>
    <row r="13" spans="1:12" ht="15.95" customHeight="1">
      <c r="A13" s="954"/>
      <c r="B13" s="955"/>
      <c r="C13" s="955"/>
      <c r="D13" s="955"/>
      <c r="E13" s="955"/>
      <c r="F13" s="955"/>
      <c r="G13" s="955"/>
      <c r="H13" s="955"/>
      <c r="I13" s="955"/>
      <c r="J13" s="955"/>
      <c r="K13" s="955"/>
      <c r="L13" s="956"/>
    </row>
    <row r="14" spans="1:12" ht="15.95" customHeight="1">
      <c r="A14" s="493" t="s">
        <v>220</v>
      </c>
      <c r="B14" s="492"/>
      <c r="C14" s="492"/>
      <c r="D14" s="492"/>
      <c r="E14" s="492"/>
      <c r="F14" s="492"/>
      <c r="G14" s="489"/>
      <c r="H14" s="489"/>
      <c r="I14" s="489"/>
      <c r="J14" s="489"/>
      <c r="K14" s="489"/>
      <c r="L14" s="489"/>
    </row>
    <row r="15" spans="1:12" ht="15.95" customHeight="1">
      <c r="A15" s="561"/>
      <c r="B15" s="562"/>
      <c r="C15" s="562"/>
      <c r="D15" s="562"/>
    </row>
    <row r="16" spans="1:12" ht="15.95" customHeight="1">
      <c r="A16" s="561"/>
      <c r="B16" s="562"/>
      <c r="C16" s="562"/>
      <c r="D16" s="562"/>
    </row>
    <row r="17" spans="1:5" ht="15.95" customHeight="1">
      <c r="A17" s="561"/>
      <c r="B17" s="562"/>
      <c r="C17" s="562"/>
      <c r="D17" s="562"/>
    </row>
    <row r="18" spans="1:5" ht="15.95" customHeight="1">
      <c r="A18" s="563"/>
      <c r="B18" s="564"/>
      <c r="C18" s="564"/>
      <c r="D18" s="564"/>
    </row>
    <row r="20" spans="1:5">
      <c r="A20" s="191"/>
    </row>
    <row r="22" spans="1:5" ht="15.75" customHeight="1">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row r="121" spans="1:5">
      <c r="A121" s="107"/>
      <c r="B121" s="107"/>
      <c r="C121" s="107"/>
      <c r="D121" s="107"/>
      <c r="E121"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theme="0"/>
  </sheetPr>
  <dimension ref="A1:K116"/>
  <sheetViews>
    <sheetView zoomScaleNormal="100" workbookViewId="0">
      <selection activeCell="C1" sqref="C1"/>
    </sheetView>
  </sheetViews>
  <sheetFormatPr defaultColWidth="9.1328125" defaultRowHeight="13.15"/>
  <cols>
    <col min="1" max="1" width="11.59765625" style="191" customWidth="1"/>
    <col min="2" max="2" width="14.73046875" style="191" customWidth="1"/>
    <col min="3" max="3" width="20" style="192" customWidth="1"/>
    <col min="4" max="7" width="14.73046875" style="192" customWidth="1"/>
    <col min="8" max="8" width="27" style="192" customWidth="1"/>
    <col min="9" max="16384" width="9.1328125" style="107"/>
  </cols>
  <sheetData>
    <row r="1" spans="1:11" ht="15.95" customHeight="1">
      <c r="A1" s="524" t="str">
        <f>IF(språk=lista[[#Headers],[Svenska]],"Innehåll",IF(språk=lista[[#Headers],[English]],"Contents","FEL"))</f>
        <v>Contents</v>
      </c>
      <c r="B1" s="524"/>
    </row>
    <row r="2" spans="1:11" ht="15.95" customHeight="1"/>
    <row r="3" spans="1:11" ht="15.95" customHeight="1">
      <c r="A3" s="230" t="str">
        <f>IFERROR(INDEX(lista[],MATCH($A5,lista[ID],0),MATCH(språk,lista[#Headers],0)),"")</f>
        <v>Raw materials for HVO used in Sweden, from 2011, sustainable volume (m3)</v>
      </c>
      <c r="F3" s="107"/>
      <c r="G3" s="107"/>
      <c r="H3" s="190"/>
    </row>
    <row r="4" spans="1:11" ht="15.95" customHeight="1">
      <c r="A4" s="230"/>
      <c r="F4" s="107"/>
      <c r="G4" s="107"/>
      <c r="H4" s="190"/>
    </row>
    <row r="5" spans="1:11" ht="36.75" hidden="1" customHeight="1">
      <c r="A5" s="230">
        <v>58</v>
      </c>
      <c r="B5" s="192" t="s">
        <v>647</v>
      </c>
      <c r="C5" s="192" t="s">
        <v>648</v>
      </c>
      <c r="D5" s="192" t="s">
        <v>649</v>
      </c>
      <c r="E5" s="192" t="s">
        <v>650</v>
      </c>
      <c r="F5" s="192" t="s">
        <v>651</v>
      </c>
      <c r="G5" s="192" t="s">
        <v>652</v>
      </c>
      <c r="H5" s="192" t="s">
        <v>653</v>
      </c>
      <c r="I5" s="192" t="s">
        <v>654</v>
      </c>
      <c r="J5" s="192" t="s">
        <v>655</v>
      </c>
    </row>
    <row r="6" spans="1:11" ht="26.25">
      <c r="A6" s="957"/>
      <c r="B6" s="958" t="str">
        <f>IFERROR(INDEX(_8.5[],MATCH(språk,_8.5[[id]:[id]],0),MATCH(B$5,_8.5[#Headers],0)),"")</f>
        <v>Crude tall oil</v>
      </c>
      <c r="C6" s="488" t="str">
        <f>IFERROR(INDEX(_8.5[],MATCH(språk,_8.5[[id]:[id]],0),MATCH(C$5,_8.5[#Headers],0)),"")</f>
        <v>Oil from vegetable or animal waste</v>
      </c>
      <c r="D6" s="1030" t="str">
        <f>IFERROR(INDEX(_8.5[],MATCH(språk,_8.5[[id]:[id]],0),MATCH(D$5,_8.5[#Headers],0)),"")</f>
        <v>Slaughterhouse waste</v>
      </c>
      <c r="E6" s="958" t="str">
        <f>IFERROR(INDEX(_8.5[],MATCH(språk,_8.5[[id]:[id]],0),MATCH(E$5,_8.5[#Headers],0)),"")</f>
        <v>Palm oil</v>
      </c>
      <c r="F6" s="958" t="str">
        <f>IFERROR(INDEX(_8.5[],MATCH(språk,_8.5[[id]:[id]],0),MATCH(F$5,_8.5[#Headers],0)),"")</f>
        <v>Animal fats</v>
      </c>
      <c r="G6" s="1039" t="str">
        <f>IFERROR(INDEX(_8.5[],MATCH(språk,_8.5[[id]:[id]],0),MATCH(G$5,_8.5[#Headers],0)),"")</f>
        <v>Rapeseed</v>
      </c>
      <c r="H6" s="1039" t="str">
        <f>IFERROR(INDEX(_8.5[],MATCH(språk,_8.5[[id]:[id]],0),MATCH(H$5,_8.5[#Headers],0)),"")</f>
        <v>PFAD (palm fatty acid distillate)</v>
      </c>
      <c r="I6" s="1039" t="str">
        <f>IFERROR(INDEX(_8.5[],MATCH(språk,_8.5[[id]:[id]],0),MATCH(I$5,_8.5[#Headers],0)),"")</f>
        <v>Maize</v>
      </c>
      <c r="J6" s="1039" t="str">
        <f>IFERROR(INDEX(_8.5[],MATCH(språk,_8.5[[id]:[id]],0),MATCH(J$5,_8.5[#Headers],0)),"")</f>
        <v>Other</v>
      </c>
      <c r="K6" s="235" t="str">
        <f>IF(språk=lista[[#Headers],[Svenska]],"Totalt",IF(språk=lista[[#Headers],[English]],"Total","FEL"))</f>
        <v>Total</v>
      </c>
    </row>
    <row r="7" spans="1:11" ht="15.95" customHeight="1">
      <c r="A7" s="948">
        <v>2011</v>
      </c>
      <c r="B7" s="949">
        <v>32452.090999999997</v>
      </c>
      <c r="C7" s="949">
        <v>2489</v>
      </c>
      <c r="D7" s="949">
        <v>0</v>
      </c>
      <c r="E7" s="949">
        <v>0</v>
      </c>
      <c r="F7" s="949">
        <v>0</v>
      </c>
      <c r="G7" s="949">
        <v>0</v>
      </c>
      <c r="H7" s="1035"/>
      <c r="I7" s="1035"/>
      <c r="J7" s="1035"/>
      <c r="K7" s="950">
        <v>34941.091</v>
      </c>
    </row>
    <row r="8" spans="1:11" ht="15.95" customHeight="1">
      <c r="A8" s="951">
        <v>2012</v>
      </c>
      <c r="B8" s="952">
        <v>64589.250999999997</v>
      </c>
      <c r="C8" s="952">
        <v>30033.52</v>
      </c>
      <c r="D8" s="952">
        <v>29743.363000000001</v>
      </c>
      <c r="E8" s="952">
        <v>15236.329</v>
      </c>
      <c r="F8" s="952">
        <v>0</v>
      </c>
      <c r="G8" s="952">
        <v>0</v>
      </c>
      <c r="H8" s="1037"/>
      <c r="I8" s="1037"/>
      <c r="J8" s="1037"/>
      <c r="K8" s="953">
        <v>139602.46299999999</v>
      </c>
    </row>
    <row r="9" spans="1:11" ht="15.95" customHeight="1">
      <c r="A9" s="948">
        <v>2013</v>
      </c>
      <c r="B9" s="949">
        <v>100112.55020509125</v>
      </c>
      <c r="C9" s="949">
        <v>5.1561635000000008</v>
      </c>
      <c r="D9" s="949">
        <v>201409.08000000002</v>
      </c>
      <c r="E9" s="949">
        <v>74131.079000000027</v>
      </c>
      <c r="F9" s="949">
        <v>15540</v>
      </c>
      <c r="G9" s="949">
        <v>0</v>
      </c>
      <c r="H9" s="1035"/>
      <c r="I9" s="1035"/>
      <c r="J9" s="1035"/>
      <c r="K9" s="950">
        <v>391196.34316350002</v>
      </c>
    </row>
    <row r="10" spans="1:11" ht="15.95" customHeight="1">
      <c r="A10" s="951">
        <v>2014</v>
      </c>
      <c r="B10" s="952">
        <v>106419.37592080003</v>
      </c>
      <c r="C10" s="952">
        <v>108446.58</v>
      </c>
      <c r="D10" s="952">
        <v>168707.69399999999</v>
      </c>
      <c r="E10" s="952">
        <v>73983.947531703132</v>
      </c>
      <c r="F10" s="952">
        <v>25553.640000000007</v>
      </c>
      <c r="G10" s="952">
        <v>0</v>
      </c>
      <c r="H10" s="1037"/>
      <c r="I10" s="1037"/>
      <c r="J10" s="1037"/>
      <c r="K10" s="953">
        <v>483111.23745250318</v>
      </c>
    </row>
    <row r="11" spans="1:11" ht="15.95" customHeight="1">
      <c r="A11" s="948">
        <v>2015</v>
      </c>
      <c r="B11" s="949">
        <v>112114</v>
      </c>
      <c r="C11" s="949">
        <v>227009</v>
      </c>
      <c r="D11" s="949">
        <v>220713</v>
      </c>
      <c r="E11" s="949">
        <v>106418</v>
      </c>
      <c r="F11" s="949">
        <v>0</v>
      </c>
      <c r="G11" s="949">
        <v>65651</v>
      </c>
      <c r="H11" s="1035"/>
      <c r="I11" s="1035"/>
      <c r="J11" s="1035"/>
      <c r="K11" s="950">
        <v>731904</v>
      </c>
    </row>
    <row r="12" spans="1:11" s="1046" customFormat="1" ht="15.95" customHeight="1">
      <c r="A12" s="1036">
        <v>2016</v>
      </c>
      <c r="B12" s="1037">
        <v>84283</v>
      </c>
      <c r="C12" s="1037">
        <v>459473</v>
      </c>
      <c r="D12" s="1037">
        <v>234807</v>
      </c>
      <c r="E12" s="1037">
        <v>0</v>
      </c>
      <c r="F12" s="1037">
        <v>0</v>
      </c>
      <c r="G12" s="1037">
        <v>101416</v>
      </c>
      <c r="H12" s="1037">
        <v>276593</v>
      </c>
      <c r="I12" s="1037">
        <v>43240</v>
      </c>
      <c r="J12" s="1037">
        <v>20926</v>
      </c>
      <c r="K12" s="1038">
        <v>1220738</v>
      </c>
    </row>
    <row r="13" spans="1:11" ht="15.95" customHeight="1">
      <c r="B13" s="229"/>
      <c r="C13" s="191"/>
      <c r="F13" s="107"/>
      <c r="G13" s="107"/>
    </row>
    <row r="14" spans="1:11" ht="15.95" customHeight="1">
      <c r="A14" s="191" t="s">
        <v>220</v>
      </c>
      <c r="B14" s="228"/>
      <c r="C14" s="229"/>
      <c r="D14" s="229"/>
    </row>
    <row r="15" spans="1:11" ht="15.95" customHeight="1">
      <c r="C15" s="229"/>
      <c r="D15" s="229"/>
    </row>
    <row r="16" spans="1:11" ht="15.95" customHeight="1">
      <c r="A16" s="231"/>
      <c r="B16" s="231"/>
      <c r="C16" s="229"/>
      <c r="D16" s="229"/>
    </row>
    <row r="17" spans="1:8" ht="15.75" customHeight="1">
      <c r="A17" s="107"/>
      <c r="B17" s="107"/>
      <c r="C17" s="107"/>
      <c r="D17" s="107"/>
      <c r="E17" s="107"/>
      <c r="F17" s="107"/>
      <c r="G17" s="107"/>
      <c r="H17" s="107"/>
    </row>
    <row r="18" spans="1:8">
      <c r="A18" s="107"/>
      <c r="B18" s="107"/>
      <c r="C18" s="107"/>
      <c r="D18" s="107"/>
      <c r="E18" s="107"/>
      <c r="F18" s="107"/>
      <c r="G18" s="107"/>
      <c r="H18" s="107"/>
    </row>
    <row r="19" spans="1:8">
      <c r="A19" s="107"/>
      <c r="B19" s="107"/>
      <c r="C19" s="107"/>
      <c r="D19" s="107"/>
      <c r="E19" s="107"/>
      <c r="F19" s="107"/>
      <c r="G19" s="107"/>
      <c r="H19" s="107"/>
    </row>
    <row r="20" spans="1:8">
      <c r="A20" s="107"/>
      <c r="B20" s="107"/>
      <c r="C20" s="107"/>
      <c r="D20" s="107"/>
      <c r="E20" s="107"/>
      <c r="F20" s="107"/>
      <c r="G20" s="107"/>
      <c r="H20" s="107"/>
    </row>
    <row r="21" spans="1:8">
      <c r="A21" s="107"/>
      <c r="B21" s="107"/>
      <c r="C21" s="107"/>
      <c r="D21" s="107"/>
      <c r="E21" s="107"/>
      <c r="F21" s="107"/>
      <c r="G21" s="107"/>
      <c r="H21" s="107"/>
    </row>
    <row r="22" spans="1:8">
      <c r="A22" s="107"/>
      <c r="B22" s="107"/>
      <c r="C22" s="107"/>
      <c r="D22" s="107"/>
      <c r="E22" s="107"/>
      <c r="F22" s="107"/>
      <c r="G22" s="107"/>
      <c r="H22" s="107"/>
    </row>
    <row r="23" spans="1:8">
      <c r="A23" s="107"/>
      <c r="B23" s="107"/>
      <c r="C23" s="107"/>
      <c r="D23" s="107"/>
      <c r="E23" s="107"/>
      <c r="F23" s="107"/>
      <c r="G23" s="107"/>
      <c r="H23" s="107"/>
    </row>
    <row r="24" spans="1:8">
      <c r="A24" s="107"/>
      <c r="B24" s="107"/>
      <c r="C24" s="107"/>
      <c r="D24" s="107"/>
      <c r="E24" s="107"/>
      <c r="F24" s="107"/>
      <c r="G24" s="107"/>
      <c r="H24" s="107"/>
    </row>
    <row r="25" spans="1:8">
      <c r="A25" s="107"/>
      <c r="B25" s="107"/>
      <c r="C25" s="107"/>
      <c r="D25" s="107"/>
      <c r="E25" s="107"/>
      <c r="F25" s="107"/>
      <c r="G25" s="107"/>
      <c r="H25" s="107"/>
    </row>
    <row r="26" spans="1:8">
      <c r="A26" s="107"/>
      <c r="B26" s="107"/>
      <c r="C26" s="107"/>
      <c r="D26" s="107"/>
      <c r="E26" s="107"/>
      <c r="F26" s="107"/>
      <c r="G26" s="107"/>
      <c r="H26" s="107"/>
    </row>
    <row r="27" spans="1:8">
      <c r="A27" s="107"/>
      <c r="B27" s="107"/>
      <c r="C27" s="107"/>
      <c r="D27" s="107"/>
      <c r="E27" s="107"/>
      <c r="F27" s="107"/>
      <c r="G27" s="107"/>
      <c r="H27" s="107"/>
    </row>
    <row r="28" spans="1:8">
      <c r="A28" s="107"/>
      <c r="B28" s="107"/>
      <c r="C28" s="107"/>
      <c r="D28" s="107"/>
      <c r="E28" s="107"/>
      <c r="F28" s="107"/>
      <c r="G28" s="107"/>
      <c r="H28" s="107"/>
    </row>
    <row r="29" spans="1:8">
      <c r="A29" s="107"/>
      <c r="B29" s="107"/>
      <c r="C29" s="107"/>
      <c r="D29" s="107"/>
      <c r="E29" s="107"/>
      <c r="F29" s="107"/>
      <c r="G29" s="107"/>
      <c r="H29" s="107"/>
    </row>
    <row r="30" spans="1:8">
      <c r="A30" s="107"/>
      <c r="B30" s="107"/>
      <c r="C30" s="107"/>
      <c r="D30" s="107"/>
      <c r="E30" s="107"/>
      <c r="F30" s="107"/>
      <c r="G30" s="107"/>
      <c r="H30" s="107"/>
    </row>
    <row r="31" spans="1:8">
      <c r="A31" s="107"/>
      <c r="B31" s="107"/>
      <c r="C31" s="107"/>
      <c r="D31" s="107"/>
      <c r="E31" s="107"/>
      <c r="F31" s="107"/>
      <c r="G31" s="107"/>
      <c r="H31" s="107"/>
    </row>
    <row r="32" spans="1:8">
      <c r="A32" s="107"/>
      <c r="B32" s="107"/>
      <c r="C32" s="107"/>
      <c r="D32" s="107"/>
      <c r="E32" s="107"/>
      <c r="F32" s="107"/>
      <c r="G32" s="107"/>
      <c r="H32" s="107"/>
    </row>
    <row r="33" spans="1:8">
      <c r="A33" s="107"/>
      <c r="B33" s="107"/>
      <c r="C33" s="107"/>
      <c r="D33" s="107"/>
      <c r="E33" s="107"/>
      <c r="F33" s="107"/>
      <c r="G33" s="107"/>
      <c r="H33" s="107"/>
    </row>
    <row r="34" spans="1:8">
      <c r="A34" s="107"/>
      <c r="B34" s="107"/>
      <c r="C34" s="107"/>
      <c r="D34" s="107"/>
      <c r="E34" s="107"/>
      <c r="F34" s="107"/>
      <c r="G34" s="107"/>
      <c r="H34" s="107"/>
    </row>
    <row r="35" spans="1:8">
      <c r="A35" s="107"/>
      <c r="B35" s="107"/>
      <c r="C35" s="107"/>
      <c r="D35" s="107"/>
      <c r="E35" s="107"/>
      <c r="F35" s="107"/>
      <c r="G35" s="107"/>
      <c r="H35" s="107"/>
    </row>
    <row r="36" spans="1:8">
      <c r="A36" s="107"/>
      <c r="B36" s="107"/>
      <c r="C36" s="107"/>
      <c r="D36" s="107"/>
      <c r="E36" s="107"/>
      <c r="F36" s="107"/>
      <c r="G36" s="107"/>
      <c r="H36" s="107"/>
    </row>
    <row r="37" spans="1:8">
      <c r="A37" s="107"/>
      <c r="B37" s="107"/>
      <c r="C37" s="107"/>
      <c r="D37" s="107"/>
      <c r="E37" s="107"/>
      <c r="F37" s="107"/>
      <c r="G37" s="107"/>
      <c r="H37" s="107"/>
    </row>
    <row r="38" spans="1:8">
      <c r="A38" s="107"/>
      <c r="B38" s="107"/>
      <c r="C38" s="107"/>
      <c r="D38" s="107"/>
      <c r="E38" s="107"/>
      <c r="F38" s="107"/>
      <c r="G38" s="107"/>
      <c r="H38" s="107"/>
    </row>
    <row r="39" spans="1:8">
      <c r="A39" s="107"/>
      <c r="B39" s="107"/>
      <c r="C39" s="107"/>
      <c r="D39" s="107"/>
      <c r="E39" s="107"/>
      <c r="F39" s="107"/>
      <c r="G39" s="107"/>
      <c r="H39" s="107"/>
    </row>
    <row r="40" spans="1:8">
      <c r="A40" s="107"/>
      <c r="B40" s="107"/>
      <c r="C40" s="107"/>
      <c r="D40" s="107"/>
      <c r="E40" s="107"/>
      <c r="F40" s="107"/>
      <c r="G40" s="107"/>
      <c r="H40" s="107"/>
    </row>
    <row r="41" spans="1:8">
      <c r="A41" s="107"/>
      <c r="B41" s="107"/>
      <c r="C41" s="107"/>
      <c r="D41" s="107"/>
      <c r="E41" s="107"/>
      <c r="F41" s="107"/>
      <c r="G41" s="107"/>
      <c r="H41" s="107"/>
    </row>
    <row r="42" spans="1:8">
      <c r="A42" s="107"/>
      <c r="B42" s="107"/>
      <c r="C42" s="107"/>
      <c r="D42" s="107"/>
      <c r="E42" s="107"/>
      <c r="F42" s="107"/>
      <c r="G42" s="107"/>
      <c r="H42" s="107"/>
    </row>
    <row r="43" spans="1:8">
      <c r="A43" s="107"/>
      <c r="B43" s="107"/>
      <c r="C43" s="107"/>
      <c r="D43" s="107"/>
      <c r="E43" s="107"/>
      <c r="F43" s="107"/>
      <c r="G43" s="107"/>
      <c r="H43" s="107"/>
    </row>
    <row r="44" spans="1:8">
      <c r="A44" s="107"/>
      <c r="B44" s="107"/>
      <c r="C44" s="107"/>
      <c r="D44" s="107"/>
      <c r="E44" s="107"/>
      <c r="F44" s="107"/>
      <c r="G44" s="107"/>
      <c r="H44" s="107"/>
    </row>
    <row r="45" spans="1:8">
      <c r="A45" s="107"/>
      <c r="B45" s="107"/>
      <c r="C45" s="107"/>
      <c r="D45" s="107"/>
      <c r="E45" s="107"/>
      <c r="F45" s="107"/>
      <c r="G45" s="107"/>
      <c r="H45" s="107"/>
    </row>
    <row r="46" spans="1:8">
      <c r="A46" s="107"/>
      <c r="B46" s="107"/>
      <c r="C46" s="107"/>
      <c r="D46" s="107"/>
      <c r="E46" s="107"/>
      <c r="F46" s="107"/>
      <c r="G46" s="107"/>
      <c r="H46" s="107"/>
    </row>
    <row r="47" spans="1:8">
      <c r="A47" s="107"/>
      <c r="B47" s="107"/>
      <c r="C47" s="107"/>
      <c r="D47" s="107"/>
      <c r="E47" s="107"/>
      <c r="F47" s="107"/>
      <c r="G47" s="107"/>
      <c r="H47" s="107"/>
    </row>
    <row r="48" spans="1:8">
      <c r="A48" s="107"/>
      <c r="B48" s="107"/>
      <c r="C48" s="107"/>
      <c r="D48" s="107"/>
      <c r="E48" s="107"/>
      <c r="F48" s="107"/>
      <c r="G48" s="107"/>
      <c r="H48" s="107"/>
    </row>
    <row r="49" spans="1:8">
      <c r="A49" s="107"/>
      <c r="B49" s="107"/>
      <c r="C49" s="107"/>
      <c r="D49" s="107"/>
      <c r="E49" s="107"/>
      <c r="F49" s="107"/>
      <c r="G49" s="107"/>
      <c r="H49" s="107"/>
    </row>
    <row r="50" spans="1:8">
      <c r="A50" s="107"/>
      <c r="B50" s="107"/>
      <c r="C50" s="107"/>
      <c r="D50" s="107"/>
      <c r="E50" s="107"/>
      <c r="F50" s="107"/>
      <c r="G50" s="107"/>
      <c r="H50" s="107"/>
    </row>
    <row r="51" spans="1:8">
      <c r="A51" s="107"/>
      <c r="B51" s="107"/>
      <c r="C51" s="107"/>
      <c r="D51" s="107"/>
      <c r="E51" s="107"/>
      <c r="F51" s="107"/>
      <c r="G51" s="107"/>
      <c r="H51" s="107"/>
    </row>
    <row r="52" spans="1:8">
      <c r="A52" s="107"/>
      <c r="B52" s="107"/>
      <c r="C52" s="107"/>
      <c r="D52" s="107"/>
      <c r="E52" s="107"/>
      <c r="F52" s="107"/>
      <c r="G52" s="107"/>
      <c r="H52" s="107"/>
    </row>
    <row r="53" spans="1:8">
      <c r="A53" s="107"/>
      <c r="B53" s="107"/>
      <c r="C53" s="107"/>
      <c r="D53" s="107"/>
      <c r="E53" s="107"/>
      <c r="F53" s="107"/>
      <c r="G53" s="107"/>
      <c r="H53" s="107"/>
    </row>
    <row r="54" spans="1:8">
      <c r="A54" s="107"/>
      <c r="B54" s="107"/>
      <c r="C54" s="107"/>
      <c r="D54" s="107"/>
      <c r="E54" s="107"/>
      <c r="F54" s="107"/>
      <c r="G54" s="107"/>
      <c r="H54" s="107"/>
    </row>
    <row r="55" spans="1:8">
      <c r="A55" s="107"/>
      <c r="B55" s="107"/>
      <c r="C55" s="107"/>
      <c r="D55" s="107"/>
      <c r="E55" s="107"/>
      <c r="F55" s="107"/>
      <c r="G55" s="107"/>
      <c r="H55" s="107"/>
    </row>
    <row r="56" spans="1:8">
      <c r="A56" s="107"/>
      <c r="B56" s="107"/>
      <c r="C56" s="107"/>
      <c r="D56" s="107"/>
      <c r="E56" s="107"/>
      <c r="F56" s="107"/>
      <c r="G56" s="107"/>
      <c r="H56" s="107"/>
    </row>
    <row r="57" spans="1:8">
      <c r="A57" s="107"/>
      <c r="B57" s="107"/>
      <c r="C57" s="107"/>
      <c r="D57" s="107"/>
      <c r="E57" s="107"/>
      <c r="F57" s="107"/>
      <c r="G57" s="107"/>
      <c r="H57" s="107"/>
    </row>
    <row r="58" spans="1:8">
      <c r="A58" s="107"/>
      <c r="B58" s="107"/>
      <c r="C58" s="107"/>
      <c r="D58" s="107"/>
      <c r="E58" s="107"/>
      <c r="F58" s="107"/>
      <c r="G58" s="107"/>
      <c r="H58" s="107"/>
    </row>
    <row r="59" spans="1:8">
      <c r="A59" s="107"/>
      <c r="B59" s="107"/>
      <c r="C59" s="107"/>
      <c r="D59" s="107"/>
      <c r="E59" s="107"/>
      <c r="F59" s="107"/>
      <c r="G59" s="107"/>
      <c r="H59" s="107"/>
    </row>
    <row r="60" spans="1:8">
      <c r="A60" s="107"/>
      <c r="B60" s="107"/>
      <c r="C60" s="107"/>
      <c r="D60" s="107"/>
      <c r="E60" s="107"/>
      <c r="F60" s="107"/>
      <c r="G60" s="107"/>
      <c r="H60" s="107"/>
    </row>
    <row r="61" spans="1:8">
      <c r="A61" s="107"/>
      <c r="B61" s="107"/>
      <c r="C61" s="107"/>
      <c r="D61" s="107"/>
      <c r="E61" s="107"/>
      <c r="F61" s="107"/>
      <c r="G61" s="107"/>
      <c r="H61" s="107"/>
    </row>
    <row r="62" spans="1:8">
      <c r="A62" s="107"/>
      <c r="B62" s="107"/>
      <c r="C62" s="107"/>
      <c r="D62" s="107"/>
      <c r="E62" s="107"/>
      <c r="F62" s="107"/>
      <c r="G62" s="107"/>
      <c r="H62" s="107"/>
    </row>
    <row r="63" spans="1:8">
      <c r="A63" s="107"/>
      <c r="B63" s="107"/>
      <c r="C63" s="107"/>
      <c r="D63" s="107"/>
      <c r="E63" s="107"/>
      <c r="F63" s="107"/>
      <c r="G63" s="107"/>
      <c r="H63" s="107"/>
    </row>
    <row r="64" spans="1:8">
      <c r="A64" s="107"/>
      <c r="B64" s="107"/>
      <c r="C64" s="107"/>
      <c r="D64" s="107"/>
      <c r="E64" s="107"/>
      <c r="F64" s="107"/>
      <c r="G64" s="107"/>
      <c r="H64" s="107"/>
    </row>
    <row r="65" spans="1:8">
      <c r="A65" s="107"/>
      <c r="B65" s="107"/>
      <c r="C65" s="107"/>
      <c r="D65" s="107"/>
      <c r="E65" s="107"/>
      <c r="F65" s="107"/>
      <c r="G65" s="107"/>
      <c r="H65" s="107"/>
    </row>
    <row r="66" spans="1:8">
      <c r="A66" s="107"/>
      <c r="B66" s="107"/>
      <c r="C66" s="107"/>
      <c r="D66" s="107"/>
      <c r="E66" s="107"/>
      <c r="F66" s="107"/>
      <c r="G66" s="107"/>
      <c r="H66" s="107"/>
    </row>
    <row r="67" spans="1:8">
      <c r="A67" s="107"/>
      <c r="B67" s="107"/>
      <c r="C67" s="107"/>
      <c r="D67" s="107"/>
      <c r="E67" s="107"/>
      <c r="F67" s="107"/>
      <c r="G67" s="107"/>
      <c r="H67" s="107"/>
    </row>
    <row r="68" spans="1:8">
      <c r="A68" s="107"/>
      <c r="B68" s="107"/>
      <c r="C68" s="107"/>
      <c r="D68" s="107"/>
      <c r="E68" s="107"/>
      <c r="F68" s="107"/>
      <c r="G68" s="107"/>
      <c r="H68" s="107"/>
    </row>
    <row r="69" spans="1:8">
      <c r="A69" s="107"/>
      <c r="B69" s="107"/>
      <c r="C69" s="107"/>
      <c r="D69" s="107"/>
      <c r="E69" s="107"/>
      <c r="F69" s="107"/>
      <c r="G69" s="107"/>
      <c r="H69" s="107"/>
    </row>
    <row r="70" spans="1:8">
      <c r="A70" s="107"/>
      <c r="B70" s="107"/>
      <c r="C70" s="107"/>
      <c r="D70" s="107"/>
      <c r="E70" s="107"/>
      <c r="F70" s="107"/>
      <c r="G70" s="107"/>
      <c r="H70" s="107"/>
    </row>
    <row r="71" spans="1:8">
      <c r="A71" s="107"/>
      <c r="B71" s="107"/>
      <c r="C71" s="107"/>
      <c r="D71" s="107"/>
      <c r="E71" s="107"/>
      <c r="F71" s="107"/>
      <c r="G71" s="107"/>
      <c r="H71" s="107"/>
    </row>
    <row r="72" spans="1:8">
      <c r="A72" s="107"/>
      <c r="B72" s="107"/>
      <c r="C72" s="107"/>
      <c r="D72" s="107"/>
      <c r="E72" s="107"/>
      <c r="F72" s="107"/>
      <c r="G72" s="107"/>
      <c r="H72" s="107"/>
    </row>
    <row r="73" spans="1:8">
      <c r="A73" s="107"/>
      <c r="B73" s="107"/>
      <c r="C73" s="107"/>
      <c r="D73" s="107"/>
      <c r="E73" s="107"/>
      <c r="F73" s="107"/>
      <c r="G73" s="107"/>
      <c r="H73" s="107"/>
    </row>
    <row r="74" spans="1:8">
      <c r="A74" s="107"/>
      <c r="B74" s="107"/>
      <c r="C74" s="107"/>
      <c r="D74" s="107"/>
      <c r="E74" s="107"/>
      <c r="F74" s="107"/>
      <c r="G74" s="107"/>
      <c r="H74" s="107"/>
    </row>
    <row r="75" spans="1:8">
      <c r="A75" s="107"/>
      <c r="B75" s="107"/>
      <c r="C75" s="107"/>
      <c r="D75" s="107"/>
      <c r="E75" s="107"/>
      <c r="F75" s="107"/>
      <c r="G75" s="107"/>
      <c r="H75" s="107"/>
    </row>
    <row r="76" spans="1:8">
      <c r="A76" s="107"/>
      <c r="B76" s="107"/>
      <c r="C76" s="107"/>
      <c r="D76" s="107"/>
      <c r="E76" s="107"/>
      <c r="F76" s="107"/>
      <c r="G76" s="107"/>
      <c r="H76" s="107"/>
    </row>
    <row r="77" spans="1:8">
      <c r="A77" s="107"/>
      <c r="B77" s="107"/>
      <c r="C77" s="107"/>
      <c r="D77" s="107"/>
      <c r="E77" s="107"/>
      <c r="F77" s="107"/>
      <c r="G77" s="107"/>
      <c r="H77" s="107"/>
    </row>
    <row r="78" spans="1:8">
      <c r="A78" s="107"/>
      <c r="B78" s="107"/>
      <c r="C78" s="107"/>
      <c r="D78" s="107"/>
      <c r="E78" s="107"/>
      <c r="F78" s="107"/>
      <c r="G78" s="107"/>
      <c r="H78" s="107"/>
    </row>
    <row r="79" spans="1:8">
      <c r="A79" s="107"/>
      <c r="B79" s="107"/>
      <c r="C79" s="107"/>
      <c r="D79" s="107"/>
      <c r="E79" s="107"/>
      <c r="F79" s="107"/>
      <c r="G79" s="107"/>
      <c r="H79" s="107"/>
    </row>
    <row r="80" spans="1:8">
      <c r="A80" s="107"/>
      <c r="B80" s="107"/>
      <c r="C80" s="107"/>
      <c r="D80" s="107"/>
      <c r="E80" s="107"/>
      <c r="F80" s="107"/>
      <c r="G80" s="107"/>
      <c r="H80" s="107"/>
    </row>
    <row r="81" spans="1:8">
      <c r="A81" s="107"/>
      <c r="B81" s="107"/>
      <c r="C81" s="107"/>
      <c r="D81" s="107"/>
      <c r="E81" s="107"/>
      <c r="F81" s="107"/>
      <c r="G81" s="107"/>
      <c r="H81" s="107"/>
    </row>
    <row r="82" spans="1:8">
      <c r="A82" s="107"/>
      <c r="B82" s="107"/>
      <c r="C82" s="107"/>
      <c r="D82" s="107"/>
      <c r="E82" s="107"/>
      <c r="F82" s="107"/>
      <c r="G82" s="107"/>
      <c r="H82" s="107"/>
    </row>
    <row r="83" spans="1:8">
      <c r="A83" s="107"/>
      <c r="B83" s="107"/>
      <c r="C83" s="107"/>
      <c r="D83" s="107"/>
      <c r="E83" s="107"/>
      <c r="F83" s="107"/>
      <c r="G83" s="107"/>
      <c r="H83" s="107"/>
    </row>
    <row r="84" spans="1:8">
      <c r="A84" s="107"/>
      <c r="B84" s="107"/>
      <c r="C84" s="107"/>
      <c r="D84" s="107"/>
      <c r="E84" s="107"/>
      <c r="F84" s="107"/>
      <c r="G84" s="107"/>
      <c r="H84" s="107"/>
    </row>
    <row r="85" spans="1:8">
      <c r="A85" s="107"/>
      <c r="B85" s="107"/>
      <c r="C85" s="107"/>
      <c r="D85" s="107"/>
      <c r="E85" s="107"/>
      <c r="F85" s="107"/>
      <c r="G85" s="107"/>
      <c r="H85" s="107"/>
    </row>
    <row r="86" spans="1:8">
      <c r="A86" s="107"/>
      <c r="B86" s="107"/>
      <c r="C86" s="107"/>
      <c r="D86" s="107"/>
      <c r="E86" s="107"/>
      <c r="F86" s="107"/>
      <c r="G86" s="107"/>
      <c r="H86" s="107"/>
    </row>
    <row r="87" spans="1:8">
      <c r="A87" s="107"/>
      <c r="B87" s="107"/>
      <c r="C87" s="107"/>
      <c r="D87" s="107"/>
      <c r="E87" s="107"/>
      <c r="F87" s="107"/>
      <c r="G87" s="107"/>
      <c r="H87" s="107"/>
    </row>
    <row r="88" spans="1:8">
      <c r="A88" s="107"/>
      <c r="B88" s="107"/>
      <c r="C88" s="107"/>
      <c r="D88" s="107"/>
      <c r="E88" s="107"/>
      <c r="F88" s="107"/>
      <c r="G88" s="107"/>
      <c r="H88" s="107"/>
    </row>
    <row r="89" spans="1:8">
      <c r="A89" s="107"/>
      <c r="B89" s="107"/>
      <c r="C89" s="107"/>
      <c r="D89" s="107"/>
      <c r="E89" s="107"/>
      <c r="F89" s="107"/>
      <c r="G89" s="107"/>
      <c r="H89" s="107"/>
    </row>
    <row r="90" spans="1:8">
      <c r="A90" s="107"/>
      <c r="B90" s="107"/>
      <c r="C90" s="107"/>
      <c r="D90" s="107"/>
      <c r="E90" s="107"/>
      <c r="F90" s="107"/>
      <c r="G90" s="107"/>
      <c r="H90" s="107"/>
    </row>
    <row r="91" spans="1:8">
      <c r="A91" s="107"/>
      <c r="B91" s="107"/>
      <c r="C91" s="107"/>
      <c r="D91" s="107"/>
      <c r="E91" s="107"/>
      <c r="F91" s="107"/>
      <c r="G91" s="107"/>
      <c r="H91" s="107"/>
    </row>
    <row r="92" spans="1:8">
      <c r="A92" s="107"/>
      <c r="B92" s="107"/>
      <c r="C92" s="107"/>
      <c r="D92" s="107"/>
      <c r="E92" s="107"/>
      <c r="F92" s="107"/>
      <c r="G92" s="107"/>
      <c r="H92" s="107"/>
    </row>
    <row r="93" spans="1:8">
      <c r="A93" s="107"/>
      <c r="B93" s="107"/>
      <c r="C93" s="107"/>
      <c r="D93" s="107"/>
      <c r="E93" s="107"/>
      <c r="F93" s="107"/>
      <c r="G93" s="107"/>
      <c r="H93" s="107"/>
    </row>
    <row r="94" spans="1:8">
      <c r="A94" s="107"/>
      <c r="B94" s="107"/>
      <c r="C94" s="107"/>
      <c r="D94" s="107"/>
      <c r="E94" s="107"/>
      <c r="F94" s="107"/>
      <c r="G94" s="107"/>
      <c r="H94" s="107"/>
    </row>
    <row r="95" spans="1:8">
      <c r="A95" s="107"/>
      <c r="B95" s="107"/>
      <c r="C95" s="107"/>
      <c r="D95" s="107"/>
      <c r="E95" s="107"/>
      <c r="F95" s="107"/>
      <c r="G95" s="107"/>
      <c r="H95" s="107"/>
    </row>
    <row r="96" spans="1:8">
      <c r="A96" s="107"/>
      <c r="B96" s="107"/>
      <c r="C96" s="107"/>
      <c r="D96" s="107"/>
      <c r="E96" s="107"/>
      <c r="F96" s="107"/>
      <c r="G96" s="107"/>
      <c r="H96" s="107"/>
    </row>
    <row r="97" spans="1:8">
      <c r="A97" s="107"/>
      <c r="B97" s="107"/>
      <c r="C97" s="107"/>
      <c r="D97" s="107"/>
      <c r="E97" s="107"/>
      <c r="F97" s="107"/>
      <c r="G97" s="107"/>
      <c r="H97" s="107"/>
    </row>
    <row r="98" spans="1:8">
      <c r="A98" s="107"/>
      <c r="B98" s="107"/>
      <c r="C98" s="107"/>
      <c r="D98" s="107"/>
      <c r="E98" s="107"/>
      <c r="F98" s="107"/>
      <c r="G98" s="107"/>
      <c r="H98" s="107"/>
    </row>
    <row r="99" spans="1:8">
      <c r="A99" s="107"/>
      <c r="B99" s="107"/>
      <c r="C99" s="107"/>
      <c r="D99" s="107"/>
      <c r="E99" s="107"/>
      <c r="F99" s="107"/>
      <c r="G99" s="107"/>
      <c r="H99" s="107"/>
    </row>
    <row r="100" spans="1:8">
      <c r="A100" s="107"/>
      <c r="B100" s="107"/>
      <c r="C100" s="107"/>
      <c r="D100" s="107"/>
      <c r="E100" s="107"/>
      <c r="F100" s="107"/>
      <c r="G100" s="107"/>
      <c r="H100" s="107"/>
    </row>
    <row r="101" spans="1:8">
      <c r="A101" s="107"/>
      <c r="B101" s="107"/>
      <c r="C101" s="107"/>
      <c r="D101" s="107"/>
      <c r="E101" s="107"/>
      <c r="F101" s="107"/>
      <c r="G101" s="107"/>
      <c r="H101" s="107"/>
    </row>
    <row r="102" spans="1:8">
      <c r="A102" s="107"/>
      <c r="B102" s="107"/>
      <c r="C102" s="107"/>
      <c r="D102" s="107"/>
      <c r="E102" s="107"/>
      <c r="F102" s="107"/>
      <c r="G102" s="107"/>
      <c r="H102" s="107"/>
    </row>
    <row r="103" spans="1:8">
      <c r="A103" s="107"/>
      <c r="B103" s="107"/>
      <c r="C103" s="107"/>
      <c r="D103" s="107"/>
      <c r="E103" s="107"/>
      <c r="F103" s="107"/>
      <c r="G103" s="107"/>
      <c r="H103" s="107"/>
    </row>
    <row r="104" spans="1:8">
      <c r="A104" s="107"/>
      <c r="B104" s="107"/>
      <c r="C104" s="107"/>
      <c r="D104" s="107"/>
      <c r="E104" s="107"/>
      <c r="F104" s="107"/>
      <c r="G104" s="107"/>
      <c r="H104" s="107"/>
    </row>
    <row r="105" spans="1:8">
      <c r="A105" s="107"/>
      <c r="B105" s="107"/>
      <c r="C105" s="107"/>
      <c r="D105" s="107"/>
      <c r="E105" s="107"/>
      <c r="F105" s="107"/>
      <c r="G105" s="107"/>
      <c r="H105" s="107"/>
    </row>
    <row r="106" spans="1:8">
      <c r="A106" s="107"/>
      <c r="B106" s="107"/>
      <c r="C106" s="107"/>
      <c r="D106" s="107"/>
      <c r="E106" s="107"/>
      <c r="F106" s="107"/>
      <c r="G106" s="107"/>
      <c r="H106" s="107"/>
    </row>
    <row r="107" spans="1:8">
      <c r="A107" s="107"/>
      <c r="B107" s="107"/>
      <c r="C107" s="107"/>
      <c r="D107" s="107"/>
      <c r="E107" s="107"/>
      <c r="F107" s="107"/>
      <c r="G107" s="107"/>
      <c r="H107" s="107"/>
    </row>
    <row r="108" spans="1:8">
      <c r="A108" s="107"/>
      <c r="B108" s="107"/>
      <c r="C108" s="107"/>
      <c r="D108" s="107"/>
      <c r="E108" s="107"/>
      <c r="F108" s="107"/>
      <c r="G108" s="107"/>
      <c r="H108" s="107"/>
    </row>
    <row r="109" spans="1:8">
      <c r="A109" s="107"/>
      <c r="B109" s="107"/>
      <c r="C109" s="107"/>
      <c r="D109" s="107"/>
      <c r="E109" s="107"/>
      <c r="F109" s="107"/>
      <c r="G109" s="107"/>
      <c r="H109" s="107"/>
    </row>
    <row r="110" spans="1:8">
      <c r="A110" s="107"/>
      <c r="B110" s="107"/>
      <c r="C110" s="107"/>
      <c r="D110" s="107"/>
      <c r="E110" s="107"/>
      <c r="F110" s="107"/>
      <c r="G110" s="107"/>
      <c r="H110" s="107"/>
    </row>
    <row r="111" spans="1:8">
      <c r="A111" s="107"/>
      <c r="B111" s="107"/>
      <c r="C111" s="107"/>
      <c r="D111" s="107"/>
      <c r="E111" s="107"/>
      <c r="F111" s="107"/>
      <c r="G111" s="107"/>
      <c r="H111" s="107"/>
    </row>
    <row r="112" spans="1:8">
      <c r="A112" s="107"/>
      <c r="B112" s="107"/>
      <c r="C112" s="107"/>
      <c r="D112" s="107"/>
      <c r="E112" s="107"/>
      <c r="F112" s="107"/>
      <c r="G112" s="107"/>
      <c r="H112" s="107"/>
    </row>
    <row r="113" spans="1:8">
      <c r="A113" s="107"/>
      <c r="B113" s="107"/>
      <c r="C113" s="107"/>
      <c r="D113" s="107"/>
      <c r="E113" s="107"/>
      <c r="F113" s="107"/>
      <c r="G113" s="107"/>
      <c r="H113" s="107"/>
    </row>
    <row r="114" spans="1:8">
      <c r="A114" s="107"/>
      <c r="B114" s="107"/>
      <c r="C114" s="107"/>
      <c r="D114" s="107"/>
      <c r="E114" s="107"/>
      <c r="F114" s="107"/>
      <c r="G114" s="107"/>
      <c r="H114" s="107"/>
    </row>
    <row r="115" spans="1:8">
      <c r="A115" s="107"/>
      <c r="B115" s="107"/>
      <c r="C115" s="107"/>
      <c r="D115" s="107"/>
      <c r="E115" s="107"/>
      <c r="F115" s="107"/>
      <c r="G115" s="107"/>
      <c r="H115" s="107"/>
    </row>
    <row r="116" spans="1:8">
      <c r="A116" s="107"/>
      <c r="B116" s="107"/>
      <c r="C116" s="107"/>
      <c r="D116" s="107"/>
      <c r="E116" s="107"/>
      <c r="F116" s="107"/>
      <c r="G116" s="107"/>
      <c r="H116"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theme="0"/>
  </sheetPr>
  <dimension ref="A1:N120"/>
  <sheetViews>
    <sheetView zoomScaleNormal="100" workbookViewId="0">
      <selection activeCell="B1" sqref="B1"/>
    </sheetView>
  </sheetViews>
  <sheetFormatPr defaultColWidth="9.1328125" defaultRowHeight="13.15"/>
  <cols>
    <col min="1" max="1" width="10" style="192" customWidth="1"/>
    <col min="2" max="2" width="9" style="192" customWidth="1"/>
    <col min="3" max="3" width="13.73046875" style="192" customWidth="1"/>
    <col min="4" max="4" width="8.86328125" style="192" customWidth="1"/>
    <col min="5" max="5" width="12.73046875" style="192" customWidth="1"/>
    <col min="6" max="6" width="13.265625" style="107" customWidth="1"/>
    <col min="7" max="7" width="14.3984375" style="107" customWidth="1"/>
    <col min="8" max="12" width="9.1328125" style="107"/>
    <col min="13" max="13" width="9.1328125" style="1046"/>
    <col min="14" max="16384" width="9.1328125" style="107"/>
  </cols>
  <sheetData>
    <row r="1" spans="1:14" ht="15.95" customHeight="1">
      <c r="A1" s="524" t="str">
        <f>IF(språk=lista[[#Headers],[Svenska]],"Innehåll",IF(språk=lista[[#Headers],[English]],"Contents","FEL"))</f>
        <v>Contents</v>
      </c>
    </row>
    <row r="2" spans="1:14" ht="15.95" customHeight="1"/>
    <row r="3" spans="1:14" ht="15.95" customHeight="1">
      <c r="A3" s="230" t="str">
        <f>IFERROR(INDEX(lista[],MATCH($A5,lista[ID],0),MATCH(språk,lista[#Headers],0)),"")</f>
        <v>HVO used in Sweden, by country of origin, from 2011, sustainable volume (m3)</v>
      </c>
      <c r="E3" s="190"/>
    </row>
    <row r="4" spans="1:14" ht="15.95" customHeight="1">
      <c r="A4" s="230"/>
      <c r="E4" s="190"/>
    </row>
    <row r="5" spans="1:14" ht="15.75" hidden="1" customHeight="1">
      <c r="A5" s="192">
        <v>59</v>
      </c>
      <c r="B5" s="191" t="s">
        <v>647</v>
      </c>
      <c r="C5" s="191" t="s">
        <v>648</v>
      </c>
      <c r="D5" s="191" t="s">
        <v>649</v>
      </c>
      <c r="E5" s="1047" t="s">
        <v>650</v>
      </c>
      <c r="F5" s="107" t="s">
        <v>651</v>
      </c>
      <c r="G5" s="107" t="s">
        <v>652</v>
      </c>
      <c r="H5" s="107" t="s">
        <v>653</v>
      </c>
      <c r="I5" s="107" t="s">
        <v>654</v>
      </c>
      <c r="J5" s="107" t="s">
        <v>655</v>
      </c>
      <c r="K5" s="1046" t="s">
        <v>656</v>
      </c>
      <c r="L5" s="1046" t="s">
        <v>657</v>
      </c>
      <c r="M5" s="1046" t="s">
        <v>658</v>
      </c>
    </row>
    <row r="6" spans="1:14" ht="15.95" customHeight="1">
      <c r="A6" s="154" t="str">
        <f>IFERROR(INDEX(_8.6[],MATCH(språk,_8.6[[id]:[id]],0),MATCH(A$5,_8.6[#Headers],0)),"")</f>
        <v/>
      </c>
      <c r="B6" s="154" t="str">
        <f>IFERROR(INDEX(_8.6[],MATCH(språk,_8.6[[id]:[id]],0),MATCH(B$5,_8.6[#Headers],0)),"")</f>
        <v>Sweden</v>
      </c>
      <c r="C6" s="154" t="str">
        <f>IFERROR(INDEX(_8.6[],MATCH(språk,_8.6[[id]:[id]],0),MATCH(C$5,_8.6[#Headers],0)),"")</f>
        <v>Netherlands</v>
      </c>
      <c r="D6" s="154" t="str">
        <f>IFERROR(INDEX(_8.6[],MATCH(språk,_8.6[[id]:[id]],0),MATCH(D$5,_8.6[#Headers],0)),"")</f>
        <v>Belgium</v>
      </c>
      <c r="E6" s="154" t="str">
        <f>IFERROR(INDEX(_8.6[],MATCH(språk,_8.6[[id]:[id]],0),MATCH(E$5,_8.6[#Headers],0)),"")</f>
        <v>Germany</v>
      </c>
      <c r="F6" s="154" t="str">
        <f>IFERROR(INDEX(_8.6[],MATCH(språk,_8.6[[id]:[id]],0),MATCH(F$5,_8.6[#Headers],0)),"")</f>
        <v>United Kingdom</v>
      </c>
      <c r="G6" s="154" t="str">
        <f>IFERROR(INDEX(_8.6[],MATCH(språk,_8.6[[id]:[id]],0),MATCH(G$5,_8.6[#Headers],0)),"")</f>
        <v>Indonesia</v>
      </c>
      <c r="H6" s="154" t="str">
        <f>IFERROR(INDEX(_8.6[],MATCH(språk,_8.6[[id]:[id]],0),MATCH(H$5,_8.6[#Headers],0)),"")</f>
        <v>Malaysia</v>
      </c>
      <c r="I6" s="154" t="str">
        <f>IFERROR(INDEX(_8.6[],MATCH(språk,_8.6[[id]:[id]],0),MATCH(I$5,_8.6[#Headers],0)),"")</f>
        <v>France</v>
      </c>
      <c r="J6" s="154" t="str">
        <f>IFERROR(INDEX(_8.6[],MATCH(språk,_8.6[[id]:[id]],0),MATCH(J$5,_8.6[#Headers],0)),"")</f>
        <v>Ireland</v>
      </c>
      <c r="K6" s="154" t="str">
        <f>IFERROR(INDEX(_8.6[],MATCH(språk,_8.6[[id]:[id]],0),MATCH(K$5,_8.6[#Headers],0)),"")</f>
        <v>Finland</v>
      </c>
      <c r="L6" s="154" t="str">
        <f>IFERROR(INDEX(_8.6[],MATCH(språk,_8.6[[id]:[id]],0),MATCH(L$5,_8.6[#Headers],0)),"")</f>
        <v>USA</v>
      </c>
      <c r="M6" s="154" t="str">
        <f>IFERROR(INDEX(_8.6[],MATCH(språk,_8.6[[id]:[id]],0),MATCH(M$5,_8.6[#Headers],0)),"")</f>
        <v>Other</v>
      </c>
      <c r="N6" s="235" t="str">
        <f>IF(språk=lista[[#Headers],[Svenska]],"Totalt",IF(språk=lista[[#Headers],[English]],"Total","FEL"))</f>
        <v>Total</v>
      </c>
    </row>
    <row r="7" spans="1:14" ht="15.95" customHeight="1">
      <c r="A7" s="948">
        <v>2011</v>
      </c>
      <c r="B7" s="949">
        <v>32452.090999999997</v>
      </c>
      <c r="C7" s="949">
        <v>2489</v>
      </c>
      <c r="D7" s="949"/>
      <c r="E7" s="949"/>
      <c r="F7" s="949"/>
      <c r="G7" s="949"/>
      <c r="H7" s="949"/>
      <c r="I7" s="949"/>
      <c r="J7" s="949"/>
      <c r="K7" s="949"/>
      <c r="L7" s="949"/>
      <c r="M7" s="1035"/>
      <c r="N7" s="950">
        <v>34941.091</v>
      </c>
    </row>
    <row r="8" spans="1:14" ht="15.95" customHeight="1">
      <c r="A8" s="951">
        <v>2012</v>
      </c>
      <c r="B8" s="952">
        <v>59021.250999999997</v>
      </c>
      <c r="C8" s="952">
        <v>45845.587999999996</v>
      </c>
      <c r="D8" s="952"/>
      <c r="E8" s="952"/>
      <c r="F8" s="952"/>
      <c r="G8" s="952">
        <v>8502.3359999999993</v>
      </c>
      <c r="H8" s="952">
        <v>6733.9930000000004</v>
      </c>
      <c r="I8" s="952"/>
      <c r="J8" s="952"/>
      <c r="K8" s="952">
        <v>10100.246999999999</v>
      </c>
      <c r="L8" s="952">
        <v>9399.0479999999989</v>
      </c>
      <c r="M8" s="1037"/>
      <c r="N8" s="953">
        <v>139602.46299999999</v>
      </c>
    </row>
    <row r="9" spans="1:14" ht="15.95" customHeight="1">
      <c r="A9" s="948">
        <v>2013</v>
      </c>
      <c r="B9" s="949">
        <v>101835.66020509125</v>
      </c>
      <c r="C9" s="949">
        <v>69082.791791505791</v>
      </c>
      <c r="D9" s="949">
        <v>13863.70398970399</v>
      </c>
      <c r="E9" s="949">
        <v>49415.45106003101</v>
      </c>
      <c r="F9" s="949">
        <v>11277</v>
      </c>
      <c r="G9" s="949">
        <v>49239.245719748455</v>
      </c>
      <c r="H9" s="949">
        <v>24891.833280251536</v>
      </c>
      <c r="I9" s="949">
        <v>19900.956241956243</v>
      </c>
      <c r="J9" s="949">
        <v>6351.7387387387389</v>
      </c>
      <c r="K9" s="949">
        <v>19461.752355263194</v>
      </c>
      <c r="L9" s="949">
        <v>25876.209781209764</v>
      </c>
      <c r="M9" s="1035"/>
      <c r="N9" s="950">
        <v>391196.34316350007</v>
      </c>
    </row>
    <row r="10" spans="1:14" ht="15.95" customHeight="1">
      <c r="A10" s="951">
        <v>2014</v>
      </c>
      <c r="B10" s="952">
        <v>93404.745920800022</v>
      </c>
      <c r="C10" s="952">
        <v>65288.569999999992</v>
      </c>
      <c r="D10" s="952">
        <v>25371.609999999997</v>
      </c>
      <c r="E10" s="952">
        <v>84428.153999999995</v>
      </c>
      <c r="F10" s="952">
        <v>57763.130000000005</v>
      </c>
      <c r="G10" s="952">
        <v>56110.0617818635</v>
      </c>
      <c r="H10" s="952">
        <v>17873.885749839639</v>
      </c>
      <c r="I10" s="952">
        <v>18940.400000000001</v>
      </c>
      <c r="J10" s="952">
        <v>15110.56</v>
      </c>
      <c r="K10" s="952">
        <v>19825.680000000004</v>
      </c>
      <c r="L10" s="952">
        <v>28994.453000000038</v>
      </c>
      <c r="M10" s="1037"/>
      <c r="N10" s="953">
        <v>483111.25045250321</v>
      </c>
    </row>
    <row r="11" spans="1:14" ht="15.95" customHeight="1">
      <c r="A11" s="948">
        <v>2015</v>
      </c>
      <c r="B11" s="949">
        <v>99663.655456037886</v>
      </c>
      <c r="C11" s="949">
        <v>56507.818190980994</v>
      </c>
      <c r="D11" s="949">
        <v>31434.774441307811</v>
      </c>
      <c r="E11" s="949">
        <v>148128.10805190762</v>
      </c>
      <c r="F11" s="949">
        <v>103553.06963522726</v>
      </c>
      <c r="G11" s="949">
        <v>86107.429721121371</v>
      </c>
      <c r="H11" s="949">
        <v>20310.290999999997</v>
      </c>
      <c r="I11" s="949">
        <v>24969.181171570268</v>
      </c>
      <c r="J11" s="949">
        <v>34139.810643113764</v>
      </c>
      <c r="K11" s="949">
        <v>31058.921339451848</v>
      </c>
      <c r="L11" s="949">
        <v>96031.399719905457</v>
      </c>
      <c r="M11" s="1035"/>
      <c r="N11" s="950">
        <v>731904.45937062427</v>
      </c>
    </row>
    <row r="12" spans="1:14" s="1046" customFormat="1" ht="15.95" customHeight="1">
      <c r="A12" s="1036">
        <v>2016</v>
      </c>
      <c r="B12" s="1037">
        <v>46269</v>
      </c>
      <c r="C12" s="1037">
        <v>85474</v>
      </c>
      <c r="D12" s="1037">
        <v>37570</v>
      </c>
      <c r="E12" s="1037">
        <v>189070</v>
      </c>
      <c r="F12" s="1037">
        <v>116710</v>
      </c>
      <c r="G12" s="1037">
        <v>182596</v>
      </c>
      <c r="H12" s="1037">
        <v>73104</v>
      </c>
      <c r="I12" s="1037">
        <v>67817</v>
      </c>
      <c r="J12" s="1037">
        <v>46172</v>
      </c>
      <c r="K12" s="1037">
        <v>30957</v>
      </c>
      <c r="L12" s="1037">
        <v>142134</v>
      </c>
      <c r="M12" s="1037">
        <v>344999</v>
      </c>
      <c r="N12" s="1038">
        <v>1220738</v>
      </c>
    </row>
    <row r="13" spans="1:14" ht="15.95" customHeight="1"/>
    <row r="14" spans="1:14" ht="15.95" customHeight="1">
      <c r="A14" s="191" t="s">
        <v>220</v>
      </c>
      <c r="B14" s="562"/>
      <c r="C14" s="562"/>
      <c r="D14" s="562"/>
    </row>
    <row r="15" spans="1:14" ht="15.95" customHeight="1">
      <c r="A15" s="561"/>
      <c r="B15" s="562"/>
      <c r="C15" s="562"/>
      <c r="D15" s="562"/>
    </row>
    <row r="16" spans="1:14" ht="15.95" customHeight="1">
      <c r="A16" s="561"/>
      <c r="B16" s="562"/>
      <c r="C16" s="562"/>
      <c r="D16" s="562"/>
    </row>
    <row r="17" spans="1:5" ht="15.95" customHeight="1">
      <c r="A17" s="563"/>
      <c r="B17" s="564"/>
      <c r="C17" s="564"/>
      <c r="D17" s="564"/>
    </row>
    <row r="18" spans="1:5" ht="15.95" customHeight="1"/>
    <row r="19" spans="1:5" ht="15.95" customHeight="1">
      <c r="A19" s="191"/>
    </row>
    <row r="21" spans="1:5" ht="15.75" customHeight="1">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ignoredErrors>
    <ignoredError sqref="B5:J5"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theme="6" tint="0.39997558519241921"/>
  </sheetPr>
  <dimension ref="A1:N60"/>
  <sheetViews>
    <sheetView zoomScaleNormal="100" workbookViewId="0">
      <pane ySplit="6" topLeftCell="A7" activePane="bottomLeft" state="frozen"/>
      <selection pane="bottomLeft" activeCell="B1" sqref="B1"/>
    </sheetView>
  </sheetViews>
  <sheetFormatPr defaultColWidth="8.86328125" defaultRowHeight="12.75"/>
  <cols>
    <col min="1" max="1" width="10.1328125" style="550" customWidth="1"/>
    <col min="2" max="5" width="11.73046875" style="550" customWidth="1"/>
    <col min="6" max="6" width="15.73046875" style="550" customWidth="1"/>
    <col min="7" max="7" width="14.86328125" style="550" customWidth="1"/>
    <col min="8" max="11" width="11.73046875" style="550" customWidth="1"/>
    <col min="12" max="12" width="5.59765625" style="550" bestFit="1" customWidth="1"/>
    <col min="13" max="13" width="10.73046875" style="550" customWidth="1"/>
    <col min="14" max="16384" width="8.86328125" style="550"/>
  </cols>
  <sheetData>
    <row r="1" spans="1:14" ht="15.95" customHeight="1">
      <c r="A1" s="524" t="str">
        <f>IF(språk=lista[[#Headers],[Svenska]],"Innehåll",IF(språk=lista[[#Headers],[English]],"Contents","FEL"))</f>
        <v>Contents</v>
      </c>
      <c r="B1" s="45"/>
      <c r="C1" s="45"/>
      <c r="D1" s="45"/>
      <c r="E1" s="45"/>
      <c r="F1" s="45"/>
      <c r="G1" s="45"/>
      <c r="H1" s="45"/>
      <c r="I1" s="45"/>
      <c r="J1" s="45"/>
      <c r="K1" s="45"/>
      <c r="L1" s="45"/>
      <c r="M1" s="45"/>
    </row>
    <row r="2" spans="1:14" ht="15.95" customHeight="1">
      <c r="B2" s="45"/>
      <c r="C2" s="45"/>
      <c r="D2" s="45"/>
      <c r="E2" s="45"/>
      <c r="F2" s="45"/>
      <c r="G2" s="45"/>
      <c r="H2" s="45"/>
      <c r="I2" s="45"/>
      <c r="J2" s="45"/>
      <c r="K2" s="45"/>
      <c r="L2" s="45"/>
      <c r="M2" s="45"/>
    </row>
    <row r="3" spans="1:14" ht="15.95" customHeight="1">
      <c r="A3" s="46" t="str">
        <f>IFERROR(INDEX(lista[],MATCH($A5,lista[ID],0),MATCH(språk,lista[#Headers],0)),"")</f>
        <v>Total energy supply by energy commodity, from 1970, TWh</v>
      </c>
      <c r="B3" s="45"/>
      <c r="C3" s="45"/>
      <c r="D3" s="45"/>
      <c r="E3" s="45"/>
      <c r="F3" s="45"/>
      <c r="G3" s="45"/>
      <c r="H3" s="45"/>
      <c r="I3" s="45"/>
      <c r="J3" s="45"/>
      <c r="K3" s="45"/>
      <c r="L3" s="45"/>
      <c r="M3" s="45"/>
    </row>
    <row r="4" spans="1:14" ht="15.95" customHeight="1">
      <c r="A4" s="46"/>
      <c r="B4" s="45"/>
      <c r="C4" s="45"/>
      <c r="D4" s="45"/>
      <c r="E4" s="45"/>
      <c r="F4" s="45"/>
      <c r="G4" s="45"/>
      <c r="H4" s="45"/>
      <c r="J4" s="45"/>
      <c r="K4" s="45"/>
      <c r="L4" s="45"/>
      <c r="M4" s="45"/>
    </row>
    <row r="5" spans="1:14" ht="15.95" hidden="1" customHeight="1">
      <c r="A5" s="44">
        <v>8</v>
      </c>
      <c r="B5" s="45" t="s">
        <v>647</v>
      </c>
      <c r="C5" s="45" t="s">
        <v>648</v>
      </c>
      <c r="D5" s="45" t="s">
        <v>649</v>
      </c>
      <c r="E5" s="45" t="s">
        <v>650</v>
      </c>
      <c r="F5" s="45" t="s">
        <v>651</v>
      </c>
      <c r="G5" s="45" t="s">
        <v>652</v>
      </c>
      <c r="H5" s="45" t="s">
        <v>653</v>
      </c>
      <c r="I5" s="45" t="s">
        <v>654</v>
      </c>
      <c r="J5" s="45" t="s">
        <v>655</v>
      </c>
      <c r="K5" s="45" t="s">
        <v>656</v>
      </c>
      <c r="L5" s="45"/>
      <c r="M5" s="45"/>
    </row>
    <row r="6" spans="1:14" ht="39.4">
      <c r="A6" s="47"/>
      <c r="B6" s="48" t="str">
        <f>IFERROR(INDEX(_1.2[],MATCH(språk,_1.2[[id]:[id]],0),MATCH(B$5,_1.2[#Headers],0)),"")</f>
        <v>Biomass</v>
      </c>
      <c r="C6" s="48" t="str">
        <f>IFERROR(INDEX(_1.2[],MATCH(språk,_1.2[[id]:[id]],0),MATCH(C$5,_1.2[#Headers],0)),"")</f>
        <v>Coal and coke</v>
      </c>
      <c r="D6" s="48" t="str">
        <f>IFERROR(INDEX(_1.2[],MATCH(språk,_1.2[[id]:[id]],0),MATCH(D$5,_1.2[#Headers],0)),"")</f>
        <v>Crude oil and petroleum products</v>
      </c>
      <c r="E6" s="48" t="str">
        <f>IFERROR(INDEX(_1.2[],MATCH(språk,_1.2[[id]:[id]],0),MATCH(E$5,_1.2[#Headers],0)),"")</f>
        <v>Natural gas, gasworks gas</v>
      </c>
      <c r="F6" s="1013" t="str">
        <f>IFERROR(INDEX(_1.2[],MATCH(språk,_1.2[[id]:[id]],0),MATCH(F$5,_1.2[#Headers],0)),"")</f>
        <v>Other fuels</v>
      </c>
      <c r="G6" s="1013" t="str">
        <f>IFERROR(INDEX(_1.2[],MATCH(språk,_1.2[[id]:[id]],0),MATCH(G$5,_1.2[#Headers],0)),"")</f>
        <v>Nuclear fuel</v>
      </c>
      <c r="H6" s="1013" t="str">
        <f>IFERROR(INDEX(_1.2[],MATCH(språk,_1.2[[id]:[id]],0),MATCH(H$5,_1.2[#Headers],0)),"")</f>
        <v>Primary heat</v>
      </c>
      <c r="I6" s="1013" t="str">
        <f>IFERROR(INDEX(_1.2[],MATCH(språk,_1.2[[id]:[id]],0),MATCH(I$5,_1.2[#Headers],0)),"")</f>
        <v>Hydropower</v>
      </c>
      <c r="J6" s="1013" t="str">
        <f>IFERROR(INDEX(_1.2[],MATCH(språk,_1.2[[id]:[id]],0),MATCH(J$5,_1.2[#Headers],0)),"")</f>
        <v>Windpower</v>
      </c>
      <c r="K6" s="48" t="str">
        <f>IFERROR(INDEX(_1.2[],MATCH(språk,_1.2[[id]:[id]],0),MATCH(K$5,_1.2[#Headers],0)),"")</f>
        <v>Net electricity import</v>
      </c>
      <c r="L6" s="49" t="str">
        <f>IF(språk=lista[[#Headers],[Svenska]],"Totalt",IF(språk=lista[[#Headers],[English]],"Total","FEL"))</f>
        <v>Total</v>
      </c>
      <c r="M6" s="551"/>
    </row>
    <row r="7" spans="1:14" ht="15.95" customHeight="1">
      <c r="A7" s="741">
        <v>1970</v>
      </c>
      <c r="B7" s="742">
        <v>43</v>
      </c>
      <c r="C7" s="742">
        <v>18</v>
      </c>
      <c r="D7" s="742">
        <v>336.1</v>
      </c>
      <c r="E7" s="742">
        <v>0</v>
      </c>
      <c r="F7" s="742">
        <v>0</v>
      </c>
      <c r="G7" s="742">
        <v>0</v>
      </c>
      <c r="H7" s="742">
        <v>0</v>
      </c>
      <c r="I7" s="742">
        <v>41</v>
      </c>
      <c r="J7" s="742">
        <v>0</v>
      </c>
      <c r="K7" s="742">
        <v>4</v>
      </c>
      <c r="L7" s="743">
        <v>442.1</v>
      </c>
      <c r="M7" s="552"/>
    </row>
    <row r="8" spans="1:14" ht="15.95" customHeight="1">
      <c r="A8" s="50">
        <v>1971</v>
      </c>
      <c r="B8" s="53">
        <v>40</v>
      </c>
      <c r="C8" s="53">
        <v>17</v>
      </c>
      <c r="D8" s="53">
        <v>311.3</v>
      </c>
      <c r="E8" s="53">
        <v>0</v>
      </c>
      <c r="F8" s="53">
        <v>0</v>
      </c>
      <c r="G8" s="53">
        <v>0</v>
      </c>
      <c r="H8" s="53">
        <v>0</v>
      </c>
      <c r="I8" s="53">
        <v>52</v>
      </c>
      <c r="J8" s="53">
        <v>0</v>
      </c>
      <c r="K8" s="53">
        <v>2</v>
      </c>
      <c r="L8" s="51">
        <v>422.3</v>
      </c>
      <c r="M8" s="51"/>
    </row>
    <row r="9" spans="1:14" ht="15.95" customHeight="1">
      <c r="A9" s="741">
        <v>1972</v>
      </c>
      <c r="B9" s="742">
        <v>40</v>
      </c>
      <c r="C9" s="742">
        <v>17</v>
      </c>
      <c r="D9" s="742">
        <v>317.39999999999998</v>
      </c>
      <c r="E9" s="742">
        <v>0</v>
      </c>
      <c r="F9" s="742">
        <v>0</v>
      </c>
      <c r="G9" s="742">
        <v>4</v>
      </c>
      <c r="H9" s="742">
        <v>0</v>
      </c>
      <c r="I9" s="742">
        <v>54</v>
      </c>
      <c r="J9" s="742">
        <v>0</v>
      </c>
      <c r="K9" s="742">
        <v>1</v>
      </c>
      <c r="L9" s="743">
        <v>433.4</v>
      </c>
      <c r="M9" s="51"/>
    </row>
    <row r="10" spans="1:14" ht="15.95" customHeight="1">
      <c r="A10" s="50">
        <v>1973</v>
      </c>
      <c r="B10" s="53">
        <v>42</v>
      </c>
      <c r="C10" s="53">
        <v>19</v>
      </c>
      <c r="D10" s="53">
        <v>327.7</v>
      </c>
      <c r="E10" s="53">
        <v>0</v>
      </c>
      <c r="F10" s="53">
        <v>0</v>
      </c>
      <c r="G10" s="53">
        <v>7</v>
      </c>
      <c r="H10" s="53">
        <v>0</v>
      </c>
      <c r="I10" s="53">
        <v>60</v>
      </c>
      <c r="J10" s="53">
        <v>0</v>
      </c>
      <c r="K10" s="53">
        <v>1</v>
      </c>
      <c r="L10" s="51">
        <v>456.7</v>
      </c>
      <c r="M10" s="51"/>
    </row>
    <row r="11" spans="1:14" ht="15.95" customHeight="1">
      <c r="A11" s="741">
        <v>1974</v>
      </c>
      <c r="B11" s="742">
        <v>44</v>
      </c>
      <c r="C11" s="742">
        <v>21</v>
      </c>
      <c r="D11" s="742">
        <v>291.8</v>
      </c>
      <c r="E11" s="742">
        <v>0</v>
      </c>
      <c r="F11" s="742">
        <v>0</v>
      </c>
      <c r="G11" s="742">
        <v>6</v>
      </c>
      <c r="H11" s="742">
        <v>0</v>
      </c>
      <c r="I11" s="742">
        <v>57</v>
      </c>
      <c r="J11" s="742">
        <v>0</v>
      </c>
      <c r="K11" s="742">
        <v>3</v>
      </c>
      <c r="L11" s="743">
        <v>422.8</v>
      </c>
      <c r="M11" s="51"/>
    </row>
    <row r="12" spans="1:14" ht="15.95" customHeight="1">
      <c r="A12" s="50">
        <v>1975</v>
      </c>
      <c r="B12" s="53">
        <v>44</v>
      </c>
      <c r="C12" s="53">
        <v>22</v>
      </c>
      <c r="D12" s="53">
        <v>289</v>
      </c>
      <c r="E12" s="53">
        <v>0</v>
      </c>
      <c r="F12" s="53">
        <v>0</v>
      </c>
      <c r="G12" s="53">
        <v>36</v>
      </c>
      <c r="H12" s="53">
        <v>0</v>
      </c>
      <c r="I12" s="53">
        <v>58</v>
      </c>
      <c r="J12" s="53">
        <v>0</v>
      </c>
      <c r="K12" s="53">
        <v>1</v>
      </c>
      <c r="L12" s="51">
        <v>450</v>
      </c>
      <c r="M12" s="51"/>
      <c r="N12" s="11"/>
    </row>
    <row r="13" spans="1:14" ht="15.95" customHeight="1">
      <c r="A13" s="741">
        <v>1976</v>
      </c>
      <c r="B13" s="742">
        <v>43</v>
      </c>
      <c r="C13" s="742">
        <v>21</v>
      </c>
      <c r="D13" s="742">
        <v>317.2</v>
      </c>
      <c r="E13" s="742">
        <v>0</v>
      </c>
      <c r="F13" s="742">
        <v>0</v>
      </c>
      <c r="G13" s="742">
        <v>48</v>
      </c>
      <c r="H13" s="742">
        <v>0</v>
      </c>
      <c r="I13" s="742">
        <v>55</v>
      </c>
      <c r="J13" s="742">
        <v>0</v>
      </c>
      <c r="K13" s="742">
        <v>2</v>
      </c>
      <c r="L13" s="743">
        <v>486.2</v>
      </c>
      <c r="M13" s="51"/>
    </row>
    <row r="14" spans="1:14" ht="15.95" customHeight="1">
      <c r="A14" s="50">
        <v>1977</v>
      </c>
      <c r="B14" s="53">
        <v>41</v>
      </c>
      <c r="C14" s="53">
        <v>17</v>
      </c>
      <c r="D14" s="53">
        <v>313.89999999999998</v>
      </c>
      <c r="E14" s="53">
        <v>0</v>
      </c>
      <c r="F14" s="53">
        <v>0</v>
      </c>
      <c r="G14" s="53">
        <v>60</v>
      </c>
      <c r="H14" s="53">
        <v>0</v>
      </c>
      <c r="I14" s="53">
        <v>54</v>
      </c>
      <c r="J14" s="53">
        <v>0</v>
      </c>
      <c r="K14" s="53">
        <v>-2</v>
      </c>
      <c r="L14" s="51">
        <v>483.9</v>
      </c>
      <c r="M14" s="51"/>
    </row>
    <row r="15" spans="1:14" ht="15.95" customHeight="1">
      <c r="A15" s="741">
        <v>1978</v>
      </c>
      <c r="B15" s="742">
        <v>45</v>
      </c>
      <c r="C15" s="742">
        <v>18</v>
      </c>
      <c r="D15" s="742">
        <v>297.2</v>
      </c>
      <c r="E15" s="742">
        <v>0</v>
      </c>
      <c r="F15" s="742">
        <v>0</v>
      </c>
      <c r="G15" s="742">
        <v>71</v>
      </c>
      <c r="H15" s="742">
        <v>0</v>
      </c>
      <c r="I15" s="742">
        <v>58</v>
      </c>
      <c r="J15" s="742">
        <v>0</v>
      </c>
      <c r="K15" s="742">
        <v>-1</v>
      </c>
      <c r="L15" s="743">
        <v>488.2</v>
      </c>
      <c r="M15" s="51"/>
    </row>
    <row r="16" spans="1:14" ht="15.95" customHeight="1">
      <c r="A16" s="50">
        <v>1979</v>
      </c>
      <c r="B16" s="53">
        <v>47</v>
      </c>
      <c r="C16" s="53">
        <v>21</v>
      </c>
      <c r="D16" s="53">
        <v>304.7</v>
      </c>
      <c r="E16" s="53">
        <v>0</v>
      </c>
      <c r="F16" s="53">
        <v>0</v>
      </c>
      <c r="G16" s="53">
        <v>64</v>
      </c>
      <c r="H16" s="53">
        <v>0</v>
      </c>
      <c r="I16" s="53">
        <v>61</v>
      </c>
      <c r="J16" s="53">
        <v>0</v>
      </c>
      <c r="K16" s="53">
        <v>2</v>
      </c>
      <c r="L16" s="51">
        <v>499.7</v>
      </c>
      <c r="M16" s="51"/>
    </row>
    <row r="17" spans="1:13" ht="15.95" customHeight="1">
      <c r="A17" s="741">
        <v>1980</v>
      </c>
      <c r="B17" s="742">
        <v>48</v>
      </c>
      <c r="C17" s="742">
        <v>19</v>
      </c>
      <c r="D17" s="742">
        <v>275</v>
      </c>
      <c r="E17" s="742">
        <v>0</v>
      </c>
      <c r="F17" s="742">
        <v>0</v>
      </c>
      <c r="G17" s="742">
        <v>76</v>
      </c>
      <c r="H17" s="742">
        <v>1</v>
      </c>
      <c r="I17" s="742">
        <v>59</v>
      </c>
      <c r="J17" s="742">
        <v>0</v>
      </c>
      <c r="K17" s="742">
        <v>1</v>
      </c>
      <c r="L17" s="743">
        <v>479</v>
      </c>
      <c r="M17" s="51"/>
    </row>
    <row r="18" spans="1:13" ht="15.95" customHeight="1">
      <c r="A18" s="50">
        <v>1981</v>
      </c>
      <c r="B18" s="53">
        <v>50</v>
      </c>
      <c r="C18" s="53">
        <v>17</v>
      </c>
      <c r="D18" s="53">
        <v>254.4</v>
      </c>
      <c r="E18" s="53">
        <v>0</v>
      </c>
      <c r="F18" s="53">
        <v>0</v>
      </c>
      <c r="G18" s="53">
        <v>114</v>
      </c>
      <c r="H18" s="53">
        <v>1</v>
      </c>
      <c r="I18" s="53">
        <v>60</v>
      </c>
      <c r="J18" s="53">
        <v>0</v>
      </c>
      <c r="K18" s="53">
        <v>-3</v>
      </c>
      <c r="L18" s="51">
        <v>493.4</v>
      </c>
      <c r="M18" s="51"/>
    </row>
    <row r="19" spans="1:13" ht="15.95" customHeight="1">
      <c r="A19" s="741">
        <v>1982</v>
      </c>
      <c r="B19" s="742">
        <v>48</v>
      </c>
      <c r="C19" s="742">
        <v>19</v>
      </c>
      <c r="D19" s="742">
        <v>234.5</v>
      </c>
      <c r="E19" s="742">
        <v>0</v>
      </c>
      <c r="F19" s="742">
        <v>0</v>
      </c>
      <c r="G19" s="742">
        <v>117</v>
      </c>
      <c r="H19" s="742">
        <v>1</v>
      </c>
      <c r="I19" s="742">
        <v>55</v>
      </c>
      <c r="J19" s="742">
        <v>0</v>
      </c>
      <c r="K19" s="742">
        <v>3</v>
      </c>
      <c r="L19" s="743">
        <v>477.5</v>
      </c>
      <c r="M19" s="51"/>
    </row>
    <row r="20" spans="1:13" ht="15.95" customHeight="1">
      <c r="A20" s="50">
        <v>1983</v>
      </c>
      <c r="B20" s="53">
        <v>51.745618224655416</v>
      </c>
      <c r="C20" s="53">
        <v>24.566944444444442</v>
      </c>
      <c r="D20" s="53">
        <v>202.06472222222223</v>
      </c>
      <c r="E20" s="53">
        <v>0</v>
      </c>
      <c r="F20" s="53">
        <v>1.5254928864556914</v>
      </c>
      <c r="G20" s="53">
        <v>123.62690000000001</v>
      </c>
      <c r="H20" s="53">
        <v>0.71305555555555555</v>
      </c>
      <c r="I20" s="53">
        <v>63.546999999999997</v>
      </c>
      <c r="J20" s="53">
        <v>0</v>
      </c>
      <c r="K20" s="53">
        <v>4.9359999999999999</v>
      </c>
      <c r="L20" s="51">
        <v>472.72573333333338</v>
      </c>
      <c r="M20" s="51"/>
    </row>
    <row r="21" spans="1:13" ht="15.95" customHeight="1">
      <c r="A21" s="741">
        <v>1984</v>
      </c>
      <c r="B21" s="742">
        <v>57.574881926799556</v>
      </c>
      <c r="C21" s="742">
        <v>28.577222222222218</v>
      </c>
      <c r="D21" s="742">
        <v>190.75555555555553</v>
      </c>
      <c r="E21" s="742">
        <v>0</v>
      </c>
      <c r="F21" s="742">
        <v>2.2242847398671151</v>
      </c>
      <c r="G21" s="742">
        <v>151.50401000000002</v>
      </c>
      <c r="H21" s="742">
        <v>1.9180555555555554</v>
      </c>
      <c r="I21" s="742">
        <v>67.911000000000001</v>
      </c>
      <c r="J21" s="742">
        <v>0</v>
      </c>
      <c r="K21" s="742">
        <v>0.38600000000000001</v>
      </c>
      <c r="L21" s="743">
        <v>500.85101000000003</v>
      </c>
      <c r="M21" s="51"/>
    </row>
    <row r="22" spans="1:13" ht="15.95" customHeight="1">
      <c r="A22" s="50">
        <v>1985</v>
      </c>
      <c r="B22" s="53">
        <v>60.612485206347429</v>
      </c>
      <c r="C22" s="53">
        <v>36.24805555555556</v>
      </c>
      <c r="D22" s="53">
        <v>199.7161111111111</v>
      </c>
      <c r="E22" s="53">
        <v>0.84249999999999992</v>
      </c>
      <c r="F22" s="53">
        <v>2.7966814603192356</v>
      </c>
      <c r="G22" s="53">
        <v>172.78691000000001</v>
      </c>
      <c r="H22" s="53">
        <v>3.2111111111111108</v>
      </c>
      <c r="I22" s="53">
        <v>70.986999999999995</v>
      </c>
      <c r="J22" s="53">
        <v>0</v>
      </c>
      <c r="K22" s="53">
        <v>-1.5089999999999999</v>
      </c>
      <c r="L22" s="51">
        <v>545.6918544444444</v>
      </c>
      <c r="M22" s="51"/>
    </row>
    <row r="23" spans="1:13" ht="13.15">
      <c r="A23" s="741">
        <v>1986</v>
      </c>
      <c r="B23" s="742">
        <v>60.949796456581645</v>
      </c>
      <c r="C23" s="742">
        <v>34.602777777777781</v>
      </c>
      <c r="D23" s="742">
        <v>200.32472222222222</v>
      </c>
      <c r="E23" s="742">
        <v>2.3436111111111106</v>
      </c>
      <c r="F23" s="742">
        <v>3.9407590989739103</v>
      </c>
      <c r="G23" s="742">
        <v>202.16428999999999</v>
      </c>
      <c r="H23" s="742">
        <v>5.2819444444444441</v>
      </c>
      <c r="I23" s="742">
        <v>60.933</v>
      </c>
      <c r="J23" s="742">
        <v>0</v>
      </c>
      <c r="K23" s="742">
        <v>-4.6589999999999998</v>
      </c>
      <c r="L23" s="743">
        <v>565.88190111111112</v>
      </c>
      <c r="M23" s="51"/>
    </row>
    <row r="24" spans="1:13" ht="15.95" customHeight="1">
      <c r="A24" s="50">
        <v>1987</v>
      </c>
      <c r="B24" s="53">
        <v>61.344702129178174</v>
      </c>
      <c r="C24" s="53">
        <v>34.128611111111113</v>
      </c>
      <c r="D24" s="53">
        <v>195.94027777777777</v>
      </c>
      <c r="E24" s="53">
        <v>3.1536111111111107</v>
      </c>
      <c r="F24" s="53">
        <v>4.0508534263773814</v>
      </c>
      <c r="G24" s="53">
        <v>199.83829</v>
      </c>
      <c r="H24" s="53">
        <v>6.9069444444444441</v>
      </c>
      <c r="I24" s="53">
        <v>71.853999999999999</v>
      </c>
      <c r="J24" s="53">
        <v>0</v>
      </c>
      <c r="K24" s="53">
        <v>-4.17</v>
      </c>
      <c r="L24" s="51">
        <v>573.04729000000009</v>
      </c>
      <c r="M24" s="51"/>
    </row>
    <row r="25" spans="1:13" ht="15.95" customHeight="1">
      <c r="A25" s="741">
        <v>1988</v>
      </c>
      <c r="B25" s="742">
        <v>62.650857983445462</v>
      </c>
      <c r="C25" s="742">
        <v>32.390555555555551</v>
      </c>
      <c r="D25" s="742">
        <v>195.90027777777775</v>
      </c>
      <c r="E25" s="742">
        <v>4.0283333333333333</v>
      </c>
      <c r="F25" s="742">
        <v>4.0935864609989752</v>
      </c>
      <c r="G25" s="742">
        <v>206.6651</v>
      </c>
      <c r="H25" s="742">
        <v>6.9222222222222216</v>
      </c>
      <c r="I25" s="742">
        <v>69.882999999999996</v>
      </c>
      <c r="J25" s="742">
        <v>0</v>
      </c>
      <c r="K25" s="742">
        <v>-2.6070000000000002</v>
      </c>
      <c r="L25" s="743">
        <v>579.9269333333333</v>
      </c>
      <c r="M25" s="51"/>
    </row>
    <row r="26" spans="1:13" ht="15.95" customHeight="1">
      <c r="A26" s="50">
        <v>1989</v>
      </c>
      <c r="B26" s="53">
        <v>61.875564618304644</v>
      </c>
      <c r="C26" s="53">
        <v>30.960833333333333</v>
      </c>
      <c r="D26" s="53">
        <v>189.13194444444443</v>
      </c>
      <c r="E26" s="53">
        <v>5.3674999999999997</v>
      </c>
      <c r="F26" s="53">
        <v>4.5899909372509136</v>
      </c>
      <c r="G26" s="53">
        <v>196.31440000000003</v>
      </c>
      <c r="H26" s="53">
        <v>6.8311111111111114</v>
      </c>
      <c r="I26" s="53">
        <v>71.751000000000005</v>
      </c>
      <c r="J26" s="53">
        <v>0</v>
      </c>
      <c r="K26" s="53">
        <v>-0.47299999999999998</v>
      </c>
      <c r="L26" s="51">
        <v>566.34934444444445</v>
      </c>
      <c r="M26" s="51"/>
    </row>
    <row r="27" spans="1:13" ht="15.95" customHeight="1">
      <c r="A27" s="741">
        <v>1990</v>
      </c>
      <c r="B27" s="742">
        <v>61.282817184676993</v>
      </c>
      <c r="C27" s="742">
        <v>31.5625</v>
      </c>
      <c r="D27" s="742">
        <v>167.59601440755887</v>
      </c>
      <c r="E27" s="742">
        <v>6.7066666666666661</v>
      </c>
      <c r="F27" s="742">
        <v>5.4732939264341178</v>
      </c>
      <c r="G27" s="742">
        <v>202.39689000000001</v>
      </c>
      <c r="H27" s="742">
        <v>7.0830555555555552</v>
      </c>
      <c r="I27" s="742">
        <v>72.503</v>
      </c>
      <c r="J27" s="742">
        <v>6.0000000000000001E-3</v>
      </c>
      <c r="K27" s="742">
        <v>-1.768</v>
      </c>
      <c r="L27" s="743">
        <v>552.84223774089219</v>
      </c>
      <c r="M27" s="51"/>
    </row>
    <row r="28" spans="1:13" ht="15.95" customHeight="1">
      <c r="A28" s="50">
        <v>1991</v>
      </c>
      <c r="B28" s="53">
        <v>63.668679476222565</v>
      </c>
      <c r="C28" s="53">
        <v>28.668055555555558</v>
      </c>
      <c r="D28" s="53">
        <v>169.55259924198651</v>
      </c>
      <c r="E28" s="53">
        <v>7.1711111111111112</v>
      </c>
      <c r="F28" s="53">
        <v>6.7882649682218759</v>
      </c>
      <c r="G28" s="53">
        <v>228.44809000000004</v>
      </c>
      <c r="H28" s="53">
        <v>7.3869444444444445</v>
      </c>
      <c r="I28" s="53">
        <v>63.235999999999997</v>
      </c>
      <c r="J28" s="53">
        <v>1.2999999999999999E-2</v>
      </c>
      <c r="K28" s="53">
        <v>-1.294</v>
      </c>
      <c r="L28" s="51">
        <v>573.63874479754213</v>
      </c>
      <c r="M28" s="51"/>
    </row>
    <row r="29" spans="1:13" ht="15.95" customHeight="1">
      <c r="A29" s="741">
        <v>1992</v>
      </c>
      <c r="B29" s="742">
        <v>65.063644709652252</v>
      </c>
      <c r="C29" s="742">
        <v>27.506111111111114</v>
      </c>
      <c r="D29" s="742">
        <v>165.15458475865321</v>
      </c>
      <c r="E29" s="742">
        <v>8.0891666666666655</v>
      </c>
      <c r="F29" s="742">
        <v>6.7277441792366419</v>
      </c>
      <c r="G29" s="742">
        <v>188.27807000000001</v>
      </c>
      <c r="H29" s="742">
        <v>6.9130555555555553</v>
      </c>
      <c r="I29" s="742">
        <v>74.331999999999994</v>
      </c>
      <c r="J29" s="742">
        <v>3.1E-2</v>
      </c>
      <c r="K29" s="742">
        <v>-2.1560000000000001</v>
      </c>
      <c r="L29" s="743">
        <v>539.93937698087541</v>
      </c>
      <c r="M29" s="51"/>
    </row>
    <row r="30" spans="1:13" ht="15.95" customHeight="1">
      <c r="A30" s="50">
        <v>1993</v>
      </c>
      <c r="B30" s="53">
        <v>68.441150471111101</v>
      </c>
      <c r="C30" s="53">
        <v>28.415555555555553</v>
      </c>
      <c r="D30" s="53">
        <v>160.94207759427061</v>
      </c>
      <c r="E30" s="53">
        <v>7.9508333333333328</v>
      </c>
      <c r="F30" s="53">
        <v>7.0563495288888891</v>
      </c>
      <c r="G30" s="53">
        <v>182.18395000000001</v>
      </c>
      <c r="H30" s="53">
        <v>7.213055555555556</v>
      </c>
      <c r="I30" s="53">
        <v>74.650999999999996</v>
      </c>
      <c r="J30" s="53">
        <v>4.8000000000000001E-2</v>
      </c>
      <c r="K30" s="53">
        <v>-0.58599999999999997</v>
      </c>
      <c r="L30" s="51">
        <v>536.31597203871502</v>
      </c>
      <c r="M30" s="51"/>
    </row>
    <row r="31" spans="1:13" ht="15.95" customHeight="1">
      <c r="A31" s="741">
        <v>1994</v>
      </c>
      <c r="B31" s="742">
        <v>71.783923574554976</v>
      </c>
      <c r="C31" s="742">
        <v>27.570277777777779</v>
      </c>
      <c r="D31" s="742">
        <v>170.88544466012561</v>
      </c>
      <c r="E31" s="742">
        <v>7.892777777777777</v>
      </c>
      <c r="F31" s="742">
        <v>6.9744097587783562</v>
      </c>
      <c r="G31" s="742">
        <v>217.35307</v>
      </c>
      <c r="H31" s="742">
        <v>6.9249999999999998</v>
      </c>
      <c r="I31" s="742">
        <v>59.1</v>
      </c>
      <c r="J31" s="742">
        <v>7.1999999999999995E-2</v>
      </c>
      <c r="K31" s="742">
        <v>0.26100000000000001</v>
      </c>
      <c r="L31" s="743">
        <v>568.81790354901443</v>
      </c>
      <c r="M31" s="51"/>
    </row>
    <row r="32" spans="1:13" ht="15.95" customHeight="1">
      <c r="A32" s="50">
        <v>1995</v>
      </c>
      <c r="B32" s="53">
        <v>77.331061640690734</v>
      </c>
      <c r="C32" s="53">
        <v>28.455277777777777</v>
      </c>
      <c r="D32" s="53">
        <v>176.11327044212968</v>
      </c>
      <c r="E32" s="53">
        <v>7.902222222222222</v>
      </c>
      <c r="F32" s="53">
        <v>7.3703272481981532</v>
      </c>
      <c r="G32" s="53">
        <v>207.31638000000001</v>
      </c>
      <c r="H32" s="53">
        <v>6.9669444444444446</v>
      </c>
      <c r="I32" s="53">
        <v>68.102000000000004</v>
      </c>
      <c r="J32" s="53">
        <v>9.9000000000000005E-2</v>
      </c>
      <c r="K32" s="53">
        <v>-1.714</v>
      </c>
      <c r="L32" s="51">
        <v>577.94248377546307</v>
      </c>
      <c r="M32" s="51"/>
    </row>
    <row r="33" spans="1:13" ht="15.95" customHeight="1">
      <c r="A33" s="741">
        <v>1996</v>
      </c>
      <c r="B33" s="742">
        <v>81.116446722702051</v>
      </c>
      <c r="C33" s="742">
        <v>30.602499999999999</v>
      </c>
      <c r="D33" s="742">
        <v>187.80228713438927</v>
      </c>
      <c r="E33" s="742">
        <v>8.4661111111111111</v>
      </c>
      <c r="F33" s="742">
        <v>7.3072525550757383</v>
      </c>
      <c r="G33" s="742">
        <v>224.44737000000003</v>
      </c>
      <c r="H33" s="742">
        <v>6.9161111111111113</v>
      </c>
      <c r="I33" s="742">
        <v>51.74</v>
      </c>
      <c r="J33" s="742">
        <v>0.14399999999999999</v>
      </c>
      <c r="K33" s="742">
        <v>6.1390000000000002</v>
      </c>
      <c r="L33" s="743">
        <v>604.68107863438934</v>
      </c>
      <c r="M33" s="51"/>
    </row>
    <row r="34" spans="1:13" ht="15.95" customHeight="1">
      <c r="A34" s="50">
        <v>1997</v>
      </c>
      <c r="B34" s="53">
        <v>83.422217219950099</v>
      </c>
      <c r="C34" s="53">
        <v>25.710277777777776</v>
      </c>
      <c r="D34" s="53">
        <v>173.80506770711548</v>
      </c>
      <c r="E34" s="53">
        <v>8.3591666666666669</v>
      </c>
      <c r="F34" s="53">
        <v>6.8717023356054598</v>
      </c>
      <c r="G34" s="53">
        <v>205.97893000000002</v>
      </c>
      <c r="H34" s="53">
        <v>6.108888888888889</v>
      </c>
      <c r="I34" s="53">
        <v>69.215999999999994</v>
      </c>
      <c r="J34" s="53">
        <v>0.20300000000000001</v>
      </c>
      <c r="K34" s="53">
        <v>-2.7080000000000002</v>
      </c>
      <c r="L34" s="51">
        <v>576.96725059600431</v>
      </c>
      <c r="M34" s="51"/>
    </row>
    <row r="35" spans="1:13" ht="15.95" customHeight="1">
      <c r="A35" s="741">
        <v>1998</v>
      </c>
      <c r="B35" s="742">
        <v>82.170560123099705</v>
      </c>
      <c r="C35" s="742">
        <v>25.026944444444442</v>
      </c>
      <c r="D35" s="742">
        <v>175.98065679520454</v>
      </c>
      <c r="E35" s="742">
        <v>8.738611111111112</v>
      </c>
      <c r="F35" s="742">
        <v>9.3961534769002988</v>
      </c>
      <c r="G35" s="742">
        <v>218.05087000000003</v>
      </c>
      <c r="H35" s="742">
        <v>7.3680555555555554</v>
      </c>
      <c r="I35" s="742">
        <v>74.739999999999995</v>
      </c>
      <c r="J35" s="742">
        <v>0.308</v>
      </c>
      <c r="K35" s="742">
        <v>-10.696999999999999</v>
      </c>
      <c r="L35" s="743">
        <v>591.08285150631571</v>
      </c>
      <c r="M35" s="51"/>
    </row>
    <row r="36" spans="1:13" ht="15.95" customHeight="1">
      <c r="A36" s="50">
        <v>1999</v>
      </c>
      <c r="B36" s="53">
        <v>82.865108208532021</v>
      </c>
      <c r="C36" s="53">
        <v>25.361111111111111</v>
      </c>
      <c r="D36" s="53">
        <v>174.1023830654816</v>
      </c>
      <c r="E36" s="53">
        <v>8.3036111111111115</v>
      </c>
      <c r="F36" s="53">
        <v>6.8834576914679886</v>
      </c>
      <c r="G36" s="53">
        <v>213.37561000000002</v>
      </c>
      <c r="H36" s="53">
        <v>7.5238888888888891</v>
      </c>
      <c r="I36" s="53">
        <v>71.691000000000003</v>
      </c>
      <c r="J36" s="53">
        <v>0.35799999999999998</v>
      </c>
      <c r="K36" s="53">
        <v>-7.4820000000000002</v>
      </c>
      <c r="L36" s="51">
        <v>582.98217007659275</v>
      </c>
      <c r="M36" s="51"/>
    </row>
    <row r="37" spans="1:13" ht="15.95" customHeight="1">
      <c r="A37" s="741">
        <v>2000</v>
      </c>
      <c r="B37" s="742">
        <v>83.588179482194647</v>
      </c>
      <c r="C37" s="742">
        <v>24.213055555555556</v>
      </c>
      <c r="D37" s="742">
        <v>168.00338026945931</v>
      </c>
      <c r="E37" s="742">
        <v>8.1208333333333336</v>
      </c>
      <c r="F37" s="742">
        <v>7.3131446289164721</v>
      </c>
      <c r="G37" s="742">
        <v>168.30936000000003</v>
      </c>
      <c r="H37" s="742">
        <v>7.483888888888889</v>
      </c>
      <c r="I37" s="742">
        <v>78.584000000000003</v>
      </c>
      <c r="J37" s="742">
        <v>0.45700000000000002</v>
      </c>
      <c r="K37" s="742">
        <v>4.6769999999999996</v>
      </c>
      <c r="L37" s="743">
        <v>550.7498421583482</v>
      </c>
      <c r="M37" s="51"/>
    </row>
    <row r="38" spans="1:13" ht="15.95" customHeight="1">
      <c r="A38" s="50">
        <v>2001</v>
      </c>
      <c r="B38" s="53">
        <v>86.479743007938126</v>
      </c>
      <c r="C38" s="53">
        <v>26.057499999999997</v>
      </c>
      <c r="D38" s="53">
        <v>163.27661081678968</v>
      </c>
      <c r="E38" s="53">
        <v>9.161944444444444</v>
      </c>
      <c r="F38" s="53">
        <v>7.5144997587285278</v>
      </c>
      <c r="G38" s="53">
        <v>214.07341</v>
      </c>
      <c r="H38" s="53">
        <v>7.596111111111111</v>
      </c>
      <c r="I38" s="53">
        <v>79.061000000000007</v>
      </c>
      <c r="J38" s="53">
        <v>0.48199999999999998</v>
      </c>
      <c r="K38" s="53">
        <v>-7.29</v>
      </c>
      <c r="L38" s="51">
        <v>586.41281913901184</v>
      </c>
      <c r="M38" s="51"/>
    </row>
    <row r="39" spans="1:13" ht="15.95" customHeight="1">
      <c r="A39" s="741">
        <v>2002</v>
      </c>
      <c r="B39" s="742">
        <v>91.154510641167803</v>
      </c>
      <c r="C39" s="742">
        <v>26.260833333333331</v>
      </c>
      <c r="D39" s="742">
        <v>173.79002292911363</v>
      </c>
      <c r="E39" s="742">
        <v>9.323888888888888</v>
      </c>
      <c r="F39" s="742">
        <v>8.731311047721082</v>
      </c>
      <c r="G39" s="742">
        <v>200.69891000000001</v>
      </c>
      <c r="H39" s="742">
        <v>7.69</v>
      </c>
      <c r="I39" s="742">
        <v>66.358000000000004</v>
      </c>
      <c r="J39" s="742">
        <v>0.60799999999999998</v>
      </c>
      <c r="K39" s="742">
        <v>5.3559999999999999</v>
      </c>
      <c r="L39" s="743">
        <v>589.97147684022457</v>
      </c>
      <c r="M39" s="51"/>
    </row>
    <row r="40" spans="1:13" ht="15.95" customHeight="1">
      <c r="A40" s="50">
        <v>2003</v>
      </c>
      <c r="B40" s="53">
        <v>96.081566394525765</v>
      </c>
      <c r="C40" s="53">
        <v>25.822500000000005</v>
      </c>
      <c r="D40" s="53">
        <v>174.12123708881916</v>
      </c>
      <c r="E40" s="53">
        <v>10.330277777777777</v>
      </c>
      <c r="F40" s="53">
        <v>9.5538666165853439</v>
      </c>
      <c r="G40" s="53">
        <v>199.64058000000003</v>
      </c>
      <c r="H40" s="53">
        <v>6.6238888888888887</v>
      </c>
      <c r="I40" s="53">
        <v>53.470999999999997</v>
      </c>
      <c r="J40" s="53">
        <v>0.63100000000000001</v>
      </c>
      <c r="K40" s="53">
        <v>12.829000000000001</v>
      </c>
      <c r="L40" s="51">
        <v>589.10491676659694</v>
      </c>
      <c r="M40" s="51"/>
    </row>
    <row r="41" spans="1:13" ht="15.95" customHeight="1">
      <c r="A41" s="741">
        <v>2004</v>
      </c>
      <c r="B41" s="742">
        <v>96.340799721259316</v>
      </c>
      <c r="C41" s="742">
        <v>26.958888888888886</v>
      </c>
      <c r="D41" s="742">
        <v>176.77360577186354</v>
      </c>
      <c r="E41" s="742">
        <v>10.285555555555554</v>
      </c>
      <c r="F41" s="742">
        <v>11.607653500962886</v>
      </c>
      <c r="G41" s="742">
        <v>227.06412000000003</v>
      </c>
      <c r="H41" s="742">
        <v>6.6769444444444446</v>
      </c>
      <c r="I41" s="742">
        <v>60.588000000000001</v>
      </c>
      <c r="J41" s="742">
        <v>0.85</v>
      </c>
      <c r="K41" s="742">
        <v>-2.1040000000000001</v>
      </c>
      <c r="L41" s="743">
        <v>615.04156788297462</v>
      </c>
      <c r="M41" s="51"/>
    </row>
    <row r="42" spans="1:13" ht="15.95" customHeight="1">
      <c r="A42" s="50">
        <v>2005</v>
      </c>
      <c r="B42" s="53">
        <v>105.37014884444446</v>
      </c>
      <c r="C42" s="53">
        <v>25.483611111111109</v>
      </c>
      <c r="D42" s="53">
        <v>164.13499999999999</v>
      </c>
      <c r="E42" s="53">
        <v>9.7524999999999995</v>
      </c>
      <c r="F42" s="53">
        <v>12.680555555555555</v>
      </c>
      <c r="G42" s="53">
        <v>209.62027777777777</v>
      </c>
      <c r="H42" s="53">
        <v>6.1936111111111112</v>
      </c>
      <c r="I42" s="53">
        <v>72.403333333333322</v>
      </c>
      <c r="J42" s="53">
        <v>0.93944444444444442</v>
      </c>
      <c r="K42" s="53">
        <v>-7.3936111111111131</v>
      </c>
      <c r="L42" s="51">
        <v>599.18487106666657</v>
      </c>
      <c r="M42" s="51"/>
    </row>
    <row r="43" spans="1:13" ht="15.95" customHeight="1">
      <c r="A43" s="741">
        <v>2006</v>
      </c>
      <c r="B43" s="742">
        <v>109.29060075555556</v>
      </c>
      <c r="C43" s="742">
        <v>26.674444444444443</v>
      </c>
      <c r="D43" s="742">
        <v>162.43805555555559</v>
      </c>
      <c r="E43" s="742">
        <v>10.209722222222222</v>
      </c>
      <c r="F43" s="742">
        <v>12.013333333333334</v>
      </c>
      <c r="G43" s="742">
        <v>193.84722222222223</v>
      </c>
      <c r="H43" s="742">
        <v>5.8388888888888886</v>
      </c>
      <c r="I43" s="742">
        <v>61.615555555555552</v>
      </c>
      <c r="J43" s="742">
        <v>0.98833333333333329</v>
      </c>
      <c r="K43" s="742">
        <v>6.0511111111111111</v>
      </c>
      <c r="L43" s="743">
        <v>588.96726742222222</v>
      </c>
      <c r="M43" s="51"/>
    </row>
    <row r="44" spans="1:13" ht="15.95" customHeight="1">
      <c r="A44" s="50">
        <v>2007</v>
      </c>
      <c r="B44" s="53">
        <v>113.7407031</v>
      </c>
      <c r="C44" s="53">
        <v>25.939166666666669</v>
      </c>
      <c r="D44" s="53">
        <v>148.37305555555554</v>
      </c>
      <c r="E44" s="53">
        <v>10.536666666666665</v>
      </c>
      <c r="F44" s="53">
        <v>13.467499999999999</v>
      </c>
      <c r="G44" s="53">
        <v>191.40083333333334</v>
      </c>
      <c r="H44" s="53">
        <v>5.7886111111111109</v>
      </c>
      <c r="I44" s="53">
        <v>66.169722222222219</v>
      </c>
      <c r="J44" s="53">
        <v>1.4316666666666666</v>
      </c>
      <c r="K44" s="53">
        <v>1.3161111111111095</v>
      </c>
      <c r="L44" s="51">
        <v>578.16403643333331</v>
      </c>
      <c r="M44" s="51"/>
    </row>
    <row r="45" spans="1:13" ht="15.95" customHeight="1">
      <c r="A45" s="741">
        <v>2008</v>
      </c>
      <c r="B45" s="742">
        <v>115.74922244444444</v>
      </c>
      <c r="C45" s="742">
        <v>23.093333333333337</v>
      </c>
      <c r="D45" s="742">
        <v>154.09861111111107</v>
      </c>
      <c r="E45" s="742">
        <v>9.5669444444444434</v>
      </c>
      <c r="F45" s="742">
        <v>14.190555555555555</v>
      </c>
      <c r="G45" s="742">
        <v>183.60805555555555</v>
      </c>
      <c r="H45" s="742">
        <v>5.6974999999999998</v>
      </c>
      <c r="I45" s="742">
        <v>69.279444444444437</v>
      </c>
      <c r="J45" s="742">
        <v>2.0005555555555556</v>
      </c>
      <c r="K45" s="742">
        <v>-1.9608333333333321</v>
      </c>
      <c r="L45" s="743">
        <v>575.32338911111106</v>
      </c>
      <c r="M45" s="51"/>
    </row>
    <row r="46" spans="1:13" ht="15.95" customHeight="1">
      <c r="A46" s="50">
        <v>2009</v>
      </c>
      <c r="B46" s="53">
        <v>118.98416666666665</v>
      </c>
      <c r="C46" s="53">
        <v>17.237500000000001</v>
      </c>
      <c r="D46" s="53">
        <v>143.51888888888888</v>
      </c>
      <c r="E46" s="53">
        <v>12.772222222222222</v>
      </c>
      <c r="F46" s="53">
        <v>12.403888888888888</v>
      </c>
      <c r="G46" s="53">
        <v>149.42833333333334</v>
      </c>
      <c r="H46" s="53">
        <v>5.1944444444444446</v>
      </c>
      <c r="I46" s="53">
        <v>65.539444444444442</v>
      </c>
      <c r="J46" s="53">
        <v>2.490277777777778</v>
      </c>
      <c r="K46" s="53">
        <v>4.6849999999999996</v>
      </c>
      <c r="L46" s="51">
        <v>532.25416666666672</v>
      </c>
      <c r="M46" s="51"/>
    </row>
    <row r="47" spans="1:13" ht="15.95" customHeight="1">
      <c r="A47" s="741">
        <v>2010</v>
      </c>
      <c r="B47" s="742">
        <v>127.4525</v>
      </c>
      <c r="C47" s="742">
        <v>23.807500000000001</v>
      </c>
      <c r="D47" s="742">
        <v>156.80583333333331</v>
      </c>
      <c r="E47" s="742">
        <v>17.186666666666667</v>
      </c>
      <c r="F47" s="742">
        <v>14.371666666666666</v>
      </c>
      <c r="G47" s="742">
        <v>166.44694444444443</v>
      </c>
      <c r="H47" s="742">
        <v>5.4238888888888885</v>
      </c>
      <c r="I47" s="742">
        <v>67.175555555555547</v>
      </c>
      <c r="J47" s="742">
        <v>3.4863888888888885</v>
      </c>
      <c r="K47" s="742">
        <v>2.0788888888888888</v>
      </c>
      <c r="L47" s="743">
        <v>584.23583333333329</v>
      </c>
      <c r="M47" s="51"/>
    </row>
    <row r="48" spans="1:13" ht="15.95" customHeight="1">
      <c r="A48" s="50">
        <v>2011</v>
      </c>
      <c r="B48" s="309">
        <v>123.19</v>
      </c>
      <c r="C48" s="53">
        <v>23.129722222222224</v>
      </c>
      <c r="D48" s="53">
        <v>150.0094444444444</v>
      </c>
      <c r="E48" s="53">
        <v>13.574166666666667</v>
      </c>
      <c r="F48" s="309">
        <v>14.130833333333332</v>
      </c>
      <c r="G48" s="309">
        <v>171.125</v>
      </c>
      <c r="H48" s="309">
        <v>5.0566666666666666</v>
      </c>
      <c r="I48" s="310">
        <v>67.063333333333333</v>
      </c>
      <c r="J48" s="310">
        <v>6.1102777777777773</v>
      </c>
      <c r="K48" s="310">
        <v>-7.2330555555555547</v>
      </c>
      <c r="L48" s="311">
        <v>566.15638888888896</v>
      </c>
      <c r="M48" s="311"/>
    </row>
    <row r="49" spans="1:13" ht="15.95" customHeight="1">
      <c r="A49" s="741">
        <v>2012</v>
      </c>
      <c r="B49" s="742">
        <v>128.80916666666667</v>
      </c>
      <c r="C49" s="742">
        <v>21.270555555555553</v>
      </c>
      <c r="D49" s="742">
        <v>142.90249999999997</v>
      </c>
      <c r="E49" s="742">
        <v>11.834444444444443</v>
      </c>
      <c r="F49" s="742">
        <v>13.129722222222222</v>
      </c>
      <c r="G49" s="742">
        <v>187.50333333333333</v>
      </c>
      <c r="H49" s="742">
        <v>5.7927777777777774</v>
      </c>
      <c r="I49" s="742">
        <v>78.939444444444433</v>
      </c>
      <c r="J49" s="742">
        <v>7.165277777777777</v>
      </c>
      <c r="K49" s="742">
        <v>-19.574444444444445</v>
      </c>
      <c r="L49" s="743">
        <v>577.77277777777761</v>
      </c>
      <c r="M49" s="51"/>
    </row>
    <row r="50" spans="1:13" ht="15.95" customHeight="1">
      <c r="A50" s="50">
        <v>2013</v>
      </c>
      <c r="B50" s="309">
        <v>129.83805555555554</v>
      </c>
      <c r="C50" s="53">
        <v>21.890833333333333</v>
      </c>
      <c r="D50" s="53">
        <v>133.74694444444444</v>
      </c>
      <c r="E50" s="53">
        <v>11.373888888888889</v>
      </c>
      <c r="F50" s="309">
        <v>14.568333333333332</v>
      </c>
      <c r="G50" s="309">
        <v>189.17166666666665</v>
      </c>
      <c r="H50" s="309">
        <v>4.4608333333333334</v>
      </c>
      <c r="I50" s="310">
        <v>61.361111111111107</v>
      </c>
      <c r="J50" s="310">
        <v>9.8422222222222224</v>
      </c>
      <c r="K50" s="310">
        <v>-9.9605555555555565</v>
      </c>
      <c r="L50" s="311">
        <v>566.29333333333318</v>
      </c>
      <c r="M50" s="311"/>
    </row>
    <row r="51" spans="1:13" ht="15.95" customHeight="1">
      <c r="A51" s="741">
        <v>2014</v>
      </c>
      <c r="B51" s="742">
        <v>130.33305555555555</v>
      </c>
      <c r="C51" s="742">
        <v>21.248888888888885</v>
      </c>
      <c r="D51" s="742">
        <v>133.73361111111114</v>
      </c>
      <c r="E51" s="742">
        <v>9.3375000000000004</v>
      </c>
      <c r="F51" s="742">
        <v>14.284444444444443</v>
      </c>
      <c r="G51" s="742">
        <v>181.75833333333335</v>
      </c>
      <c r="H51" s="742">
        <v>5.0291666666666668</v>
      </c>
      <c r="I51" s="742">
        <v>63.763055555555553</v>
      </c>
      <c r="J51" s="742">
        <v>11.234166666666667</v>
      </c>
      <c r="K51" s="742">
        <v>-15.622222222222222</v>
      </c>
      <c r="L51" s="743">
        <v>555.09999999999991</v>
      </c>
      <c r="M51" s="51"/>
    </row>
    <row r="52" spans="1:13" ht="15.95" customHeight="1">
      <c r="A52" s="50">
        <v>2015</v>
      </c>
      <c r="B52" s="309">
        <v>133.54361111111109</v>
      </c>
      <c r="C52" s="53">
        <v>18.876111111111108</v>
      </c>
      <c r="D52" s="53">
        <v>119.25055555555556</v>
      </c>
      <c r="E52" s="53">
        <v>10.373055555555554</v>
      </c>
      <c r="F52" s="309">
        <v>13.781388888888889</v>
      </c>
      <c r="G52" s="309">
        <v>155.35083333333336</v>
      </c>
      <c r="H52" s="309">
        <v>4.9258333333333333</v>
      </c>
      <c r="I52" s="310">
        <v>75.3125</v>
      </c>
      <c r="J52" s="310">
        <v>16.267777777777777</v>
      </c>
      <c r="K52" s="310">
        <v>-22.600555555555555</v>
      </c>
      <c r="L52" s="311">
        <v>525.08111111111111</v>
      </c>
      <c r="M52" s="311"/>
    </row>
    <row r="53" spans="1:13" ht="15.95" customHeight="1">
      <c r="B53" s="52"/>
      <c r="C53" s="52"/>
      <c r="E53" s="53"/>
      <c r="F53" s="52"/>
      <c r="K53" s="54"/>
      <c r="L53" s="55"/>
      <c r="M53" s="55"/>
    </row>
    <row r="54" spans="1:13" ht="15.95" customHeight="1">
      <c r="A54" s="56" t="s">
        <v>27</v>
      </c>
      <c r="B54" s="45"/>
      <c r="C54" s="45"/>
      <c r="E54" s="45"/>
      <c r="F54" s="45"/>
      <c r="J54" s="45"/>
      <c r="K54" s="45"/>
      <c r="L54" s="45"/>
      <c r="M54" s="45"/>
    </row>
    <row r="55" spans="1:13" ht="15.95" customHeight="1">
      <c r="A55" s="56" t="s">
        <v>482</v>
      </c>
      <c r="B55" s="45"/>
      <c r="C55" s="45"/>
      <c r="E55" s="45"/>
      <c r="F55" s="45"/>
      <c r="I55" s="45"/>
      <c r="J55" s="45"/>
      <c r="K55" s="45"/>
      <c r="L55" s="45"/>
      <c r="M55" s="45"/>
    </row>
    <row r="56" spans="1:13" ht="13.15">
      <c r="A56" s="916" t="s">
        <v>479</v>
      </c>
    </row>
    <row r="57" spans="1:13" ht="13.15">
      <c r="A57" s="42" t="s">
        <v>480</v>
      </c>
    </row>
    <row r="58" spans="1:13" ht="13.15">
      <c r="A58" s="56" t="s">
        <v>481</v>
      </c>
      <c r="B58" s="45"/>
      <c r="C58" s="45"/>
      <c r="E58" s="45"/>
      <c r="F58" s="45"/>
      <c r="G58" s="45"/>
      <c r="I58" s="45"/>
      <c r="J58" s="45"/>
      <c r="K58" s="45"/>
      <c r="L58" s="45"/>
      <c r="M58" s="45"/>
    </row>
    <row r="59" spans="1:13" ht="13.15">
      <c r="A59" s="56" t="s">
        <v>519</v>
      </c>
    </row>
    <row r="60" spans="1:13" ht="13.15">
      <c r="A60" s="56" t="s">
        <v>524</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theme="0"/>
  </sheetPr>
  <dimension ref="A1:I118"/>
  <sheetViews>
    <sheetView zoomScaleNormal="100" workbookViewId="0">
      <selection activeCell="B1" sqref="B1"/>
    </sheetView>
  </sheetViews>
  <sheetFormatPr defaultColWidth="9.1328125" defaultRowHeight="13.15"/>
  <cols>
    <col min="1" max="1" width="9.86328125" style="191" customWidth="1"/>
    <col min="2" max="2" width="10.265625" style="192" customWidth="1"/>
    <col min="3" max="3" width="10.3984375" style="192" customWidth="1"/>
    <col min="4" max="4" width="8.3984375" style="192" customWidth="1"/>
    <col min="5" max="5" width="9.59765625" style="192" customWidth="1"/>
    <col min="6" max="6" width="10.1328125" style="107" customWidth="1"/>
    <col min="7" max="7" width="11.3984375" style="107" customWidth="1"/>
    <col min="8" max="8" width="17.86328125" style="107" customWidth="1"/>
    <col min="9" max="9" width="10.265625" style="107" customWidth="1"/>
    <col min="10" max="16384" width="9.1328125" style="107"/>
  </cols>
  <sheetData>
    <row r="1" spans="1:9" ht="15.95" customHeight="1">
      <c r="A1" s="524" t="str">
        <f>IF(språk=lista[[#Headers],[Svenska]],"Innehåll",IF(språk=lista[[#Headers],[English]],"Contents","FEL"))</f>
        <v>Contents</v>
      </c>
    </row>
    <row r="2" spans="1:9" ht="15.95" customHeight="1"/>
    <row r="3" spans="1:9" ht="15.95" customHeight="1">
      <c r="A3" s="230" t="str">
        <f>IFERROR(INDEX(lista[],MATCH($A5,lista[ID],0),MATCH(språk,lista[#Headers],0)),"")</f>
        <v>Raw materials for ethanol used in Sweden, from 2011, sustainable volume (m3)</v>
      </c>
      <c r="B3" s="191"/>
      <c r="E3" s="190"/>
    </row>
    <row r="4" spans="1:9" ht="15.95" customHeight="1">
      <c r="A4" s="230"/>
      <c r="B4" s="191"/>
      <c r="E4" s="190"/>
    </row>
    <row r="5" spans="1:9" ht="15.95" hidden="1" customHeight="1">
      <c r="A5" s="230">
        <v>60</v>
      </c>
      <c r="B5" s="191" t="s">
        <v>647</v>
      </c>
      <c r="C5" s="192" t="s">
        <v>648</v>
      </c>
      <c r="D5" s="192" t="s">
        <v>649</v>
      </c>
      <c r="E5" s="190" t="s">
        <v>650</v>
      </c>
      <c r="F5" s="107" t="s">
        <v>651</v>
      </c>
      <c r="G5" s="107" t="s">
        <v>652</v>
      </c>
      <c r="H5" s="107" t="s">
        <v>653</v>
      </c>
    </row>
    <row r="6" spans="1:9" ht="15.95" customHeight="1">
      <c r="A6" s="959"/>
      <c r="B6" s="947" t="str">
        <f>IFERROR(INDEX(_8.7[],MATCH(språk,_8.7[[id]:[id]],0),MATCH(B$5,_8.7[#Headers],0)),"")</f>
        <v>Wheat</v>
      </c>
      <c r="C6" s="947" t="str">
        <f>IFERROR(INDEX(_8.7[],MATCH(språk,_8.7[[id]:[id]],0),MATCH(C$5,_8.7[#Headers],0)),"")</f>
        <v>Maize</v>
      </c>
      <c r="D6" s="947" t="str">
        <f>IFERROR(INDEX(_8.7[],MATCH(språk,_8.7[[id]:[id]],0),MATCH(D$5,_8.7[#Headers],0)),"")</f>
        <v>Barley</v>
      </c>
      <c r="E6" s="947" t="str">
        <f>IFERROR(INDEX(_8.7[],MATCH(språk,_8.7[[id]:[id]],0),MATCH(E$5,_8.7[#Headers],0)),"")</f>
        <v>Triticale</v>
      </c>
      <c r="F6" s="947" t="str">
        <f>IFERROR(INDEX(_8.7[],MATCH(språk,_8.7[[id]:[id]],0),MATCH(F$5,_8.7[#Headers],0)),"")</f>
        <v>Sugar cane</v>
      </c>
      <c r="G6" s="947" t="str">
        <f>IFERROR(INDEX(_8.7[],MATCH(språk,_8.7[[id]:[id]],0),MATCH(G$5,_8.7[#Headers],0)),"")</f>
        <v>Sugar beet</v>
      </c>
      <c r="H6" s="947" t="str">
        <f>IFERROR(INDEX(_8.7[],MATCH(språk,_8.7[[id]:[id]],0),MATCH(H$5,_8.7[#Headers],0)),"")</f>
        <v>Other raw materials</v>
      </c>
      <c r="I6" s="235" t="str">
        <f>IF(språk=lista[[#Headers],[Svenska]],"Totalt",IF(språk=lista[[#Headers],[English]],"Total","FEL"))</f>
        <v>Total</v>
      </c>
    </row>
    <row r="7" spans="1:9" ht="15.95" customHeight="1">
      <c r="A7" s="948">
        <v>2011</v>
      </c>
      <c r="B7" s="949">
        <v>161113.58387584469</v>
      </c>
      <c r="C7" s="949">
        <v>115228.44692832645</v>
      </c>
      <c r="D7" s="949">
        <v>27738.112268210571</v>
      </c>
      <c r="E7" s="949">
        <v>8833.4551757691515</v>
      </c>
      <c r="F7" s="949">
        <v>47055.405100000004</v>
      </c>
      <c r="G7" s="949">
        <v>6529.71</v>
      </c>
      <c r="H7" s="949">
        <v>23860.575298</v>
      </c>
      <c r="I7" s="950">
        <v>390359.28864615085</v>
      </c>
    </row>
    <row r="8" spans="1:9" ht="15.95" customHeight="1">
      <c r="A8" s="951">
        <v>2012</v>
      </c>
      <c r="B8" s="952">
        <v>205267.77811500494</v>
      </c>
      <c r="C8" s="952">
        <v>113931.51489202904</v>
      </c>
      <c r="D8" s="952">
        <v>18786.129940302508</v>
      </c>
      <c r="E8" s="952">
        <v>18166.558753508063</v>
      </c>
      <c r="F8" s="952">
        <v>12499.668772110754</v>
      </c>
      <c r="G8" s="952">
        <v>7464.9610843072005</v>
      </c>
      <c r="H8" s="952">
        <v>9378.7115101999989</v>
      </c>
      <c r="I8" s="953">
        <v>385495.32306746248</v>
      </c>
    </row>
    <row r="9" spans="1:9" ht="15.95" customHeight="1">
      <c r="A9" s="948">
        <v>2013</v>
      </c>
      <c r="B9" s="949">
        <v>123238.83760419606</v>
      </c>
      <c r="C9" s="949">
        <v>81921.378002868689</v>
      </c>
      <c r="D9" s="949">
        <v>15330.425007801809</v>
      </c>
      <c r="E9" s="949">
        <v>52375.149281997859</v>
      </c>
      <c r="F9" s="949">
        <v>59248.170938590803</v>
      </c>
      <c r="G9" s="949">
        <v>15087.044175999999</v>
      </c>
      <c r="H9" s="949">
        <v>4464.9189318712015</v>
      </c>
      <c r="I9" s="950">
        <v>351665.92394332646</v>
      </c>
    </row>
    <row r="10" spans="1:9" ht="15.95" customHeight="1">
      <c r="A10" s="951">
        <v>2014</v>
      </c>
      <c r="B10" s="952">
        <v>182600.56887500366</v>
      </c>
      <c r="C10" s="952">
        <v>63238.445999999989</v>
      </c>
      <c r="D10" s="952">
        <v>12555.317000000001</v>
      </c>
      <c r="E10" s="952">
        <v>26012.420125819641</v>
      </c>
      <c r="F10" s="952">
        <v>12586.249000000002</v>
      </c>
      <c r="G10" s="952">
        <v>26846.007000000001</v>
      </c>
      <c r="H10" s="952">
        <v>878.72</v>
      </c>
      <c r="I10" s="953">
        <v>324717.72800082329</v>
      </c>
    </row>
    <row r="11" spans="1:9" ht="15.95" customHeight="1">
      <c r="A11" s="948">
        <v>2015</v>
      </c>
      <c r="B11" s="949">
        <v>72620</v>
      </c>
      <c r="C11" s="949">
        <v>98922</v>
      </c>
      <c r="D11" s="949">
        <v>7911</v>
      </c>
      <c r="E11" s="949">
        <v>11708</v>
      </c>
      <c r="F11" s="949">
        <v>15045</v>
      </c>
      <c r="G11" s="949">
        <v>61306</v>
      </c>
      <c r="H11" s="949">
        <v>306</v>
      </c>
      <c r="I11" s="950">
        <v>267819</v>
      </c>
    </row>
    <row r="12" spans="1:9" s="1046" customFormat="1" ht="15.95" customHeight="1">
      <c r="A12" s="1036">
        <v>2016</v>
      </c>
      <c r="B12" s="1037">
        <v>98995</v>
      </c>
      <c r="C12" s="1037">
        <v>100993</v>
      </c>
      <c r="D12" s="1037">
        <v>1006</v>
      </c>
      <c r="E12" s="1037">
        <v>7224</v>
      </c>
      <c r="F12" s="1037">
        <v>1971</v>
      </c>
      <c r="G12" s="1037">
        <v>4140</v>
      </c>
      <c r="H12" s="1037">
        <v>2155</v>
      </c>
      <c r="I12" s="1038">
        <v>216485</v>
      </c>
    </row>
    <row r="13" spans="1:9" ht="15.95" customHeight="1">
      <c r="B13" s="229"/>
    </row>
    <row r="14" spans="1:9" ht="15.95" customHeight="1">
      <c r="A14" s="191" t="s">
        <v>220</v>
      </c>
      <c r="B14" s="107"/>
      <c r="C14" s="107"/>
      <c r="D14" s="107"/>
      <c r="E14" s="107"/>
    </row>
    <row r="15" spans="1:9" ht="15.95" customHeight="1">
      <c r="A15" s="107"/>
      <c r="B15" s="107"/>
      <c r="C15" s="107"/>
      <c r="D15" s="107"/>
      <c r="E15" s="107"/>
    </row>
    <row r="16" spans="1:9" ht="15.95" customHeight="1">
      <c r="A16" s="107"/>
      <c r="B16" s="107"/>
      <c r="C16" s="107"/>
      <c r="D16" s="107"/>
      <c r="E16" s="107"/>
    </row>
    <row r="17" spans="1:5" ht="15.95" customHeight="1">
      <c r="B17" s="229"/>
    </row>
    <row r="18" spans="1:5" ht="15.95" customHeight="1">
      <c r="A18" s="231"/>
      <c r="B18" s="229"/>
    </row>
    <row r="19" spans="1:5" ht="15.75" customHeight="1">
      <c r="A19" s="107"/>
      <c r="B19" s="107"/>
      <c r="C19" s="107"/>
      <c r="D19" s="107"/>
      <c r="E19" s="107"/>
    </row>
    <row r="20" spans="1:5">
      <c r="A20" s="107"/>
      <c r="B20" s="107"/>
      <c r="C20" s="107"/>
      <c r="D20" s="107"/>
      <c r="E20" s="107"/>
    </row>
    <row r="21" spans="1:5">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theme="0"/>
  </sheetPr>
  <dimension ref="A1:M120"/>
  <sheetViews>
    <sheetView zoomScaleNormal="100" zoomScaleSheetLayoutView="100" workbookViewId="0">
      <selection activeCell="B1" sqref="B1"/>
    </sheetView>
  </sheetViews>
  <sheetFormatPr defaultColWidth="9.1328125" defaultRowHeight="13.15"/>
  <cols>
    <col min="1" max="1" width="11.59765625" style="192" customWidth="1"/>
    <col min="2" max="2" width="7.3984375" style="192" bestFit="1" customWidth="1"/>
    <col min="3" max="4" width="8.3984375" style="192" bestFit="1" customWidth="1"/>
    <col min="5" max="5" width="8.1328125" style="192" bestFit="1" customWidth="1"/>
    <col min="6" max="6" width="7.265625" style="107" bestFit="1" customWidth="1"/>
    <col min="7" max="7" width="6.3984375" style="107" bestFit="1" customWidth="1"/>
    <col min="8" max="8" width="8.86328125" style="107" bestFit="1" customWidth="1"/>
    <col min="9" max="9" width="13.59765625" style="107" bestFit="1" customWidth="1"/>
    <col min="10" max="10" width="8.265625" style="107" customWidth="1"/>
    <col min="11" max="11" width="10" style="107" customWidth="1"/>
    <col min="12" max="12" width="8.86328125" style="107" customWidth="1"/>
    <col min="13" max="13" width="10.265625" style="107" customWidth="1"/>
    <col min="14" max="16384" width="9.1328125" style="107"/>
  </cols>
  <sheetData>
    <row r="1" spans="1:13" ht="15.95" customHeight="1">
      <c r="A1" s="524" t="str">
        <f>IF(språk=lista[[#Headers],[Svenska]],"Innehåll",IF(språk=lista[[#Headers],[English]],"Contents","FEL"))</f>
        <v>Contents</v>
      </c>
    </row>
    <row r="2" spans="1:13" ht="15.95" customHeight="1"/>
    <row r="3" spans="1:13" ht="15.95" customHeight="1">
      <c r="A3" s="230" t="str">
        <f>IFERROR(INDEX(lista[],MATCH($A5,lista[ID],0),MATCH(språk,lista[#Headers],0)),"")</f>
        <v>Ethanol used in Sweden, by country of origin, from 2011, sustainable volume (m3)</v>
      </c>
      <c r="E3" s="190"/>
    </row>
    <row r="4" spans="1:13" ht="15.95" customHeight="1">
      <c r="A4" s="230"/>
      <c r="E4" s="190"/>
    </row>
    <row r="5" spans="1:13" ht="15.95" hidden="1" customHeight="1">
      <c r="A5" s="192">
        <v>61</v>
      </c>
      <c r="B5" s="192" t="s">
        <v>647</v>
      </c>
      <c r="C5" s="192" t="s">
        <v>648</v>
      </c>
      <c r="D5" s="192" t="s">
        <v>649</v>
      </c>
      <c r="E5" s="190" t="s">
        <v>650</v>
      </c>
      <c r="F5" s="107" t="s">
        <v>651</v>
      </c>
      <c r="G5" s="107" t="s">
        <v>652</v>
      </c>
      <c r="H5" s="107" t="s">
        <v>653</v>
      </c>
      <c r="I5" s="107" t="s">
        <v>654</v>
      </c>
      <c r="J5" s="107" t="s">
        <v>655</v>
      </c>
      <c r="K5" s="107" t="s">
        <v>656</v>
      </c>
      <c r="L5" s="107" t="s">
        <v>657</v>
      </c>
    </row>
    <row r="6" spans="1:13" ht="15.95" customHeight="1">
      <c r="A6" s="959"/>
      <c r="B6" s="958" t="str">
        <f>IFERROR(INDEX(_8.8[],MATCH(språk,_8.8[[id]:[id]],0),MATCH(B$5,_8.8[#Headers],0)),"")</f>
        <v>Sweden</v>
      </c>
      <c r="C6" s="958" t="str">
        <f>IFERROR(INDEX(_8.8[],MATCH(språk,_8.8[[id]:[id]],0),MATCH(C$5,_8.8[#Headers],0)),"")</f>
        <v>Lithuania</v>
      </c>
      <c r="D6" s="958" t="str">
        <f>IFERROR(INDEX(_8.8[],MATCH(språk,_8.8[[id]:[id]],0),MATCH(D$5,_8.8[#Headers],0)),"")</f>
        <v>France</v>
      </c>
      <c r="E6" s="958" t="str">
        <f>IFERROR(INDEX(_8.8[],MATCH(språk,_8.8[[id]:[id]],0),MATCH(E$5,_8.8[#Headers],0)),"")</f>
        <v>Brazil</v>
      </c>
      <c r="F6" s="958" t="str">
        <f>IFERROR(INDEX(_8.8[],MATCH(språk,_8.8[[id]:[id]],0),MATCH(F$5,_8.8[#Headers],0)),"")</f>
        <v>Ukraine</v>
      </c>
      <c r="G6" s="958" t="str">
        <f>IFERROR(INDEX(_8.8[],MATCH(språk,_8.8[[id]:[id]],0),MATCH(G$5,_8.8[#Headers],0)),"")</f>
        <v>Poland</v>
      </c>
      <c r="H6" s="958" t="str">
        <f>IFERROR(INDEX(_8.8[],MATCH(språk,_8.8[[id]:[id]],0),MATCH(H$5,_8.8[#Headers],0)),"")</f>
        <v>Romania</v>
      </c>
      <c r="I6" s="958" t="str">
        <f>IFERROR(INDEX(_8.8[],MATCH(språk,_8.8[[id]:[id]],0),MATCH(I$5,_8.8[#Headers],0)),"")</f>
        <v>United Kingdom</v>
      </c>
      <c r="J6" s="958" t="str">
        <f>IFERROR(INDEX(_8.8[],MATCH(språk,_8.8[[id]:[id]],0),MATCH(J$5,_8.8[#Headers],0)),"")</f>
        <v>USA</v>
      </c>
      <c r="K6" s="958" t="str">
        <f>IFERROR(INDEX(_8.8[],MATCH(språk,_8.8[[id]:[id]],0),MATCH(K$5,_8.8[#Headers],0)),"")</f>
        <v>Guatemala</v>
      </c>
      <c r="L6" s="958" t="str">
        <f>IFERROR(INDEX(_8.8[],MATCH(språk,_8.8[[id]:[id]],0),MATCH(L$5,_8.8[#Headers],0)),"")</f>
        <v>Other</v>
      </c>
      <c r="M6" s="235" t="str">
        <f>IF(språk=lista[[#Headers],[Svenska]],"Totalt",IF(språk=lista[[#Headers],[English]],"Total","FEL"))</f>
        <v>Total</v>
      </c>
    </row>
    <row r="7" spans="1:13" ht="15.95" customHeight="1">
      <c r="A7" s="948">
        <v>2011</v>
      </c>
      <c r="B7" s="949">
        <v>134927</v>
      </c>
      <c r="C7" s="949">
        <v>5754</v>
      </c>
      <c r="D7" s="949">
        <v>70054</v>
      </c>
      <c r="E7" s="949">
        <v>42265</v>
      </c>
      <c r="F7" s="949">
        <v>5760</v>
      </c>
      <c r="G7" s="949"/>
      <c r="H7" s="949">
        <v>6911</v>
      </c>
      <c r="I7" s="949">
        <v>32201</v>
      </c>
      <c r="J7" s="949">
        <v>15897</v>
      </c>
      <c r="K7" s="949">
        <v>6478</v>
      </c>
      <c r="L7" s="949">
        <v>70113</v>
      </c>
      <c r="M7" s="950">
        <v>390359</v>
      </c>
    </row>
    <row r="8" spans="1:13" ht="15.95" customHeight="1">
      <c r="A8" s="951">
        <v>2012</v>
      </c>
      <c r="B8" s="952">
        <v>120921</v>
      </c>
      <c r="C8" s="952">
        <v>28176</v>
      </c>
      <c r="D8" s="952">
        <v>70970</v>
      </c>
      <c r="E8" s="952">
        <v>10318</v>
      </c>
      <c r="F8" s="952">
        <v>2694</v>
      </c>
      <c r="G8" s="952">
        <v>6352</v>
      </c>
      <c r="H8" s="952">
        <v>3236</v>
      </c>
      <c r="I8" s="952">
        <v>25581</v>
      </c>
      <c r="J8" s="952">
        <v>17373</v>
      </c>
      <c r="K8" s="952">
        <v>2774</v>
      </c>
      <c r="L8" s="952">
        <v>97098</v>
      </c>
      <c r="M8" s="953">
        <v>385495</v>
      </c>
    </row>
    <row r="9" spans="1:13" ht="15.95" customHeight="1">
      <c r="A9" s="948">
        <v>2013</v>
      </c>
      <c r="B9" s="949">
        <v>89514</v>
      </c>
      <c r="C9" s="949">
        <v>50027</v>
      </c>
      <c r="D9" s="949">
        <v>49892</v>
      </c>
      <c r="E9" s="949">
        <v>35652</v>
      </c>
      <c r="F9" s="949">
        <v>20719</v>
      </c>
      <c r="G9" s="949">
        <v>18169</v>
      </c>
      <c r="H9" s="949">
        <v>12767</v>
      </c>
      <c r="I9" s="949">
        <v>12241</v>
      </c>
      <c r="J9" s="949">
        <v>10271</v>
      </c>
      <c r="K9" s="949">
        <v>10248</v>
      </c>
      <c r="L9" s="949">
        <v>42166</v>
      </c>
      <c r="M9" s="950">
        <v>351666</v>
      </c>
    </row>
    <row r="10" spans="1:13" ht="15.95" customHeight="1">
      <c r="A10" s="951">
        <v>2014</v>
      </c>
      <c r="B10" s="952">
        <v>60747</v>
      </c>
      <c r="C10" s="952">
        <v>18022</v>
      </c>
      <c r="D10" s="952">
        <v>52819</v>
      </c>
      <c r="E10" s="952">
        <v>291</v>
      </c>
      <c r="F10" s="952">
        <v>52169</v>
      </c>
      <c r="G10" s="952">
        <v>7402</v>
      </c>
      <c r="H10" s="952">
        <v>3635</v>
      </c>
      <c r="I10" s="952">
        <v>83820</v>
      </c>
      <c r="J10" s="952">
        <v>3884</v>
      </c>
      <c r="K10" s="952">
        <v>4438</v>
      </c>
      <c r="L10" s="952">
        <v>37492</v>
      </c>
      <c r="M10" s="953">
        <v>324718</v>
      </c>
    </row>
    <row r="11" spans="1:13" ht="15.95" customHeight="1">
      <c r="A11" s="948">
        <v>2015</v>
      </c>
      <c r="B11" s="949">
        <v>43342</v>
      </c>
      <c r="C11" s="949">
        <v>8527</v>
      </c>
      <c r="D11" s="949">
        <v>76570</v>
      </c>
      <c r="E11" s="949">
        <v>3976</v>
      </c>
      <c r="F11" s="949">
        <v>27520</v>
      </c>
      <c r="G11" s="949">
        <v>3883</v>
      </c>
      <c r="H11" s="949">
        <v>29131</v>
      </c>
      <c r="I11" s="949">
        <v>12372</v>
      </c>
      <c r="J11" s="949">
        <v>2400</v>
      </c>
      <c r="K11" s="949">
        <v>6886</v>
      </c>
      <c r="L11" s="949">
        <v>53212</v>
      </c>
      <c r="M11" s="950">
        <v>267819</v>
      </c>
    </row>
    <row r="12" spans="1:13" s="1046" customFormat="1" ht="15.95" customHeight="1">
      <c r="A12" s="1036">
        <v>2016</v>
      </c>
      <c r="B12" s="1037">
        <v>35355</v>
      </c>
      <c r="C12" s="1037">
        <v>7182</v>
      </c>
      <c r="D12" s="1037">
        <v>9019</v>
      </c>
      <c r="E12" s="1037">
        <v>1971</v>
      </c>
      <c r="F12" s="1037">
        <v>43466</v>
      </c>
      <c r="G12" s="1037">
        <v>2798</v>
      </c>
      <c r="H12" s="1037">
        <v>18390</v>
      </c>
      <c r="I12" s="1037">
        <v>59592</v>
      </c>
      <c r="J12" s="1037">
        <v>8953</v>
      </c>
      <c r="K12" s="1037"/>
      <c r="L12" s="1037">
        <v>29759</v>
      </c>
      <c r="M12" s="1038">
        <v>216485</v>
      </c>
    </row>
    <row r="13" spans="1:13" ht="15.95" customHeight="1"/>
    <row r="14" spans="1:13" ht="15.95" customHeight="1">
      <c r="A14" s="191" t="s">
        <v>220</v>
      </c>
    </row>
    <row r="15" spans="1:13" ht="15.95" customHeight="1">
      <c r="A15" s="107"/>
      <c r="B15" s="107"/>
      <c r="C15" s="107"/>
      <c r="D15" s="107"/>
      <c r="E15" s="107"/>
    </row>
    <row r="16" spans="1:13" ht="15.95" customHeight="1">
      <c r="A16" s="565"/>
      <c r="B16" s="562"/>
      <c r="C16" s="562"/>
      <c r="D16" s="562"/>
    </row>
    <row r="17" spans="1:5" ht="15.95" customHeight="1">
      <c r="A17" s="563"/>
      <c r="B17" s="564"/>
      <c r="C17" s="564"/>
      <c r="D17" s="564"/>
    </row>
    <row r="19" spans="1:5">
      <c r="A19" s="191"/>
    </row>
    <row r="21" spans="1:5" ht="15.75" customHeight="1">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theme="0"/>
  </sheetPr>
  <dimension ref="A1:I20"/>
  <sheetViews>
    <sheetView showGridLines="0" zoomScaleNormal="100" zoomScaleSheetLayoutView="100" workbookViewId="0">
      <selection activeCell="C1" sqref="C1"/>
    </sheetView>
  </sheetViews>
  <sheetFormatPr defaultColWidth="9.1328125" defaultRowHeight="13.15"/>
  <cols>
    <col min="1" max="1" width="8.265625" style="318" customWidth="1"/>
    <col min="2" max="2" width="16.3984375" style="32" customWidth="1"/>
    <col min="3" max="3" width="22" style="32" customWidth="1"/>
    <col min="4" max="4" width="13.73046875" style="32" customWidth="1"/>
    <col min="5" max="5" width="18" style="4" customWidth="1"/>
    <col min="6" max="6" width="18.86328125" style="4" customWidth="1"/>
    <col min="7" max="7" width="22" style="4" customWidth="1"/>
    <col min="8" max="8" width="9.3984375" style="4" customWidth="1"/>
    <col min="9" max="16384" width="9.1328125" style="4"/>
  </cols>
  <sheetData>
    <row r="1" spans="1:8" ht="15.95" customHeight="1">
      <c r="A1" s="524" t="str">
        <f>IF(språk=lista[[#Headers],[Svenska]],"Innehåll",IF(språk=lista[[#Headers],[English]],"Contents","FEL"))</f>
        <v>Contents</v>
      </c>
    </row>
    <row r="2" spans="1:8" ht="15.95" customHeight="1"/>
    <row r="3" spans="1:8" ht="15.95" customHeight="1">
      <c r="A3" s="402" t="str">
        <f>IFERROR(INDEX(lista[],MATCH($A5,lista[ID],0),MATCH(språk,lista[#Headers],0)),"")</f>
        <v>Production of biogas, by category of facility, from 2005, GWh</v>
      </c>
      <c r="B3" s="420"/>
      <c r="C3" s="420"/>
      <c r="D3" s="420"/>
      <c r="E3" s="420"/>
      <c r="F3" s="420" t="s">
        <v>851</v>
      </c>
      <c r="G3" s="420"/>
      <c r="H3" s="420"/>
    </row>
    <row r="4" spans="1:8" ht="15.95" customHeight="1">
      <c r="A4" s="402"/>
      <c r="B4" s="566"/>
      <c r="C4" s="566"/>
      <c r="D4" s="566"/>
      <c r="E4" s="420"/>
      <c r="F4" s="420"/>
      <c r="G4" s="420"/>
      <c r="H4" s="420"/>
    </row>
    <row r="5" spans="1:8" ht="15.95" hidden="1" customHeight="1">
      <c r="A5" s="318">
        <v>62</v>
      </c>
      <c r="B5" s="318" t="s">
        <v>647</v>
      </c>
      <c r="C5" s="318" t="s">
        <v>648</v>
      </c>
      <c r="D5" s="318" t="s">
        <v>649</v>
      </c>
      <c r="E5" s="318" t="s">
        <v>650</v>
      </c>
      <c r="F5" s="318" t="s">
        <v>651</v>
      </c>
      <c r="G5" s="318" t="s">
        <v>652</v>
      </c>
    </row>
    <row r="6" spans="1:8" ht="26.25">
      <c r="A6" s="1023"/>
      <c r="B6" s="488" t="str">
        <f>IFERROR(INDEX(_8.9[],MATCH(språk,_8.9[[id]:[id]],0),MATCH(B$5,_8.9[#Headers],0)),"")</f>
        <v>Sewage treatment works</v>
      </c>
      <c r="C6" s="488" t="str">
        <f>IFERROR(INDEX(_8.9[],MATCH(språk,_8.9[[id]:[id]],0),MATCH(C$5,_8.9[#Headers],0)),"")</f>
        <v>Anaerobic digestion facilities</v>
      </c>
      <c r="D6" s="488" t="str">
        <f>IFERROR(INDEX(_8.9[],MATCH(språk,_8.9[[id]:[id]],0),MATCH(D$5,_8.9[#Headers],0)),"")</f>
        <v>Landfill</v>
      </c>
      <c r="E6" s="488" t="str">
        <f>IFERROR(INDEX(_8.9[],MATCH(språk,_8.9[[id]:[id]],0),MATCH(E$5,_8.9[#Headers],0)),"")</f>
        <v>Industrial facilities</v>
      </c>
      <c r="F6" s="488" t="str">
        <f>IFERROR(INDEX(_8.9[],MATCH(språk,_8.9[[id]:[id]],0),MATCH(F$5,_8.9[#Headers],0)),"")</f>
        <v>Farm biogas facilities</v>
      </c>
      <c r="G6" s="488" t="str">
        <f>IFERROR(INDEX(_8.9[],MATCH(språk,_8.9[[id]:[id]],0),MATCH(G$5,_8.9[#Headers],0)),"")</f>
        <v>Gasification facilities</v>
      </c>
      <c r="H6" s="235" t="str">
        <f>IF(språk=lista[[#Headers],[Svenska]],"Totalt",IF(språk=lista[[#Headers],[English]],"Total","FEL"))</f>
        <v>Total</v>
      </c>
    </row>
    <row r="7" spans="1:8" ht="15.95" customHeight="1">
      <c r="A7" s="811">
        <v>2005</v>
      </c>
      <c r="B7" s="812">
        <v>559</v>
      </c>
      <c r="C7" s="812">
        <v>163</v>
      </c>
      <c r="D7" s="812">
        <v>457</v>
      </c>
      <c r="E7" s="937">
        <v>34</v>
      </c>
      <c r="F7" s="937">
        <v>12</v>
      </c>
      <c r="G7" s="937"/>
      <c r="H7" s="938">
        <v>1285</v>
      </c>
    </row>
    <row r="8" spans="1:8" ht="15.95" customHeight="1">
      <c r="A8" s="186">
        <v>2006</v>
      </c>
      <c r="B8" s="607">
        <v>582</v>
      </c>
      <c r="C8" s="607">
        <v>184</v>
      </c>
      <c r="D8" s="607">
        <v>342</v>
      </c>
      <c r="E8" s="218">
        <v>91</v>
      </c>
      <c r="F8" s="218">
        <v>14</v>
      </c>
      <c r="G8" s="218"/>
      <c r="H8" s="939">
        <v>1213</v>
      </c>
    </row>
    <row r="9" spans="1:8" ht="15.95" customHeight="1">
      <c r="A9" s="811">
        <v>2007</v>
      </c>
      <c r="B9" s="812">
        <v>573</v>
      </c>
      <c r="C9" s="812">
        <v>205</v>
      </c>
      <c r="D9" s="812">
        <v>342</v>
      </c>
      <c r="E9" s="937">
        <v>125</v>
      </c>
      <c r="F9" s="937">
        <v>13</v>
      </c>
      <c r="G9" s="937"/>
      <c r="H9" s="938">
        <v>1258</v>
      </c>
    </row>
    <row r="10" spans="1:8" ht="15.95" customHeight="1">
      <c r="A10" s="186">
        <v>2008</v>
      </c>
      <c r="B10" s="607">
        <v>605</v>
      </c>
      <c r="C10" s="607">
        <v>240</v>
      </c>
      <c r="D10" s="607">
        <v>369</v>
      </c>
      <c r="E10" s="218">
        <v>130</v>
      </c>
      <c r="F10" s="218">
        <v>15</v>
      </c>
      <c r="G10" s="218"/>
      <c r="H10" s="939">
        <v>1359</v>
      </c>
    </row>
    <row r="11" spans="1:8" ht="15.95" customHeight="1">
      <c r="A11" s="811">
        <v>2009</v>
      </c>
      <c r="B11" s="812">
        <v>605</v>
      </c>
      <c r="C11" s="812">
        <v>299</v>
      </c>
      <c r="D11" s="812">
        <v>335</v>
      </c>
      <c r="E11" s="937">
        <v>106</v>
      </c>
      <c r="F11" s="937">
        <v>18</v>
      </c>
      <c r="G11" s="937"/>
      <c r="H11" s="938">
        <v>1363</v>
      </c>
    </row>
    <row r="12" spans="1:8" ht="15.95" customHeight="1">
      <c r="A12" s="186">
        <v>2010</v>
      </c>
      <c r="B12" s="607">
        <v>614</v>
      </c>
      <c r="C12" s="607">
        <v>344</v>
      </c>
      <c r="D12" s="607">
        <v>298</v>
      </c>
      <c r="E12" s="218">
        <v>114</v>
      </c>
      <c r="F12" s="218">
        <v>16</v>
      </c>
      <c r="G12" s="218"/>
      <c r="H12" s="939">
        <v>1387</v>
      </c>
    </row>
    <row r="13" spans="1:8" ht="15.95" customHeight="1">
      <c r="A13" s="845">
        <v>2011</v>
      </c>
      <c r="B13" s="873">
        <v>638</v>
      </c>
      <c r="C13" s="873">
        <v>416</v>
      </c>
      <c r="D13" s="873">
        <v>270</v>
      </c>
      <c r="E13" s="937">
        <v>129</v>
      </c>
      <c r="F13" s="937">
        <v>20</v>
      </c>
      <c r="G13" s="937"/>
      <c r="H13" s="938">
        <v>1473</v>
      </c>
    </row>
    <row r="14" spans="1:8" ht="15.95" customHeight="1">
      <c r="A14" s="186">
        <v>2012</v>
      </c>
      <c r="B14" s="607">
        <v>660</v>
      </c>
      <c r="C14" s="607">
        <v>507</v>
      </c>
      <c r="D14" s="607">
        <v>254</v>
      </c>
      <c r="E14" s="218">
        <v>121</v>
      </c>
      <c r="F14" s="218">
        <v>47</v>
      </c>
      <c r="G14" s="218"/>
      <c r="H14" s="939">
        <v>1589</v>
      </c>
    </row>
    <row r="15" spans="1:8" ht="15.95" customHeight="1">
      <c r="A15" s="845">
        <v>2013</v>
      </c>
      <c r="B15" s="873">
        <v>672</v>
      </c>
      <c r="C15" s="873">
        <v>580</v>
      </c>
      <c r="D15" s="873">
        <v>240</v>
      </c>
      <c r="E15" s="937">
        <v>117</v>
      </c>
      <c r="F15" s="937">
        <v>77</v>
      </c>
      <c r="G15" s="937"/>
      <c r="H15" s="938">
        <v>1686</v>
      </c>
    </row>
    <row r="16" spans="1:8" ht="15.95" customHeight="1">
      <c r="A16" s="186">
        <v>2014</v>
      </c>
      <c r="B16" s="607">
        <v>679</v>
      </c>
      <c r="C16" s="607">
        <v>717</v>
      </c>
      <c r="D16" s="607">
        <v>219</v>
      </c>
      <c r="E16" s="607">
        <v>123</v>
      </c>
      <c r="F16" s="607">
        <v>44</v>
      </c>
      <c r="G16" s="607"/>
      <c r="H16" s="608">
        <v>1783</v>
      </c>
    </row>
    <row r="17" spans="1:9" ht="15.95" customHeight="1">
      <c r="A17" s="845">
        <v>2015</v>
      </c>
      <c r="B17" s="873">
        <v>697</v>
      </c>
      <c r="C17" s="873">
        <v>854</v>
      </c>
      <c r="D17" s="873">
        <v>187</v>
      </c>
      <c r="E17" s="937">
        <v>121</v>
      </c>
      <c r="F17" s="937">
        <v>50</v>
      </c>
      <c r="G17" s="937">
        <v>38</v>
      </c>
      <c r="H17" s="938">
        <v>1947</v>
      </c>
      <c r="I17" s="218"/>
    </row>
    <row r="18" spans="1:9" ht="15.95" customHeight="1">
      <c r="A18" s="186">
        <v>2016</v>
      </c>
      <c r="B18" s="607">
        <v>709</v>
      </c>
      <c r="C18" s="607">
        <v>944</v>
      </c>
      <c r="D18" s="607">
        <v>174</v>
      </c>
      <c r="E18" s="607">
        <v>128</v>
      </c>
      <c r="F18" s="607">
        <v>49</v>
      </c>
      <c r="G18" s="607">
        <v>14</v>
      </c>
      <c r="H18" s="608">
        <v>2018</v>
      </c>
    </row>
    <row r="19" spans="1:9">
      <c r="A19" s="567"/>
      <c r="B19" s="568"/>
      <c r="C19" s="568"/>
      <c r="D19" s="568"/>
      <c r="E19" s="569"/>
      <c r="F19" s="569"/>
      <c r="G19" s="569"/>
      <c r="H19" s="569"/>
    </row>
    <row r="20" spans="1:9">
      <c r="A20" s="191" t="s">
        <v>220</v>
      </c>
      <c r="B20" s="570"/>
      <c r="C20" s="570"/>
      <c r="D20" s="570"/>
      <c r="E20" s="571"/>
      <c r="F20" s="571"/>
      <c r="G20" s="571"/>
      <c r="H20" s="57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theme="0"/>
  </sheetPr>
  <dimension ref="A1:D27"/>
  <sheetViews>
    <sheetView zoomScaleNormal="100" workbookViewId="0">
      <selection activeCell="C1" sqref="C1"/>
    </sheetView>
  </sheetViews>
  <sheetFormatPr defaultColWidth="9.1328125" defaultRowHeight="13.15"/>
  <cols>
    <col min="1" max="1" width="7.59765625" style="318" customWidth="1"/>
    <col min="2" max="4" width="21.3984375" style="32" customWidth="1"/>
    <col min="5" max="16384" width="9.1328125" style="4"/>
  </cols>
  <sheetData>
    <row r="1" spans="1:4" ht="15.95" customHeight="1">
      <c r="A1" s="524" t="str">
        <f>IF(språk=lista[[#Headers],[Svenska]],"Innehåll",IF(språk=lista[[#Headers],[English]],"Contents","FEL"))</f>
        <v>Contents</v>
      </c>
    </row>
    <row r="2" spans="1:4" ht="15.95" customHeight="1"/>
    <row r="3" spans="1:4" ht="15.95" customHeight="1">
      <c r="A3" s="402" t="str">
        <f>IFERROR(INDEX(lista[],MATCH($A5,lista[ID],0),MATCH(språk,lista[#Headers],0)),"")</f>
        <v>Supply of pellets to the Swedish market, from 1997, TWh</v>
      </c>
      <c r="B3" s="402"/>
      <c r="C3" s="402"/>
      <c r="D3" s="402"/>
    </row>
    <row r="4" spans="1:4" ht="15.95" customHeight="1">
      <c r="A4" s="402"/>
      <c r="B4" s="402"/>
      <c r="C4" s="402"/>
      <c r="D4" s="402"/>
    </row>
    <row r="5" spans="1:4" ht="15.95" hidden="1" customHeight="1">
      <c r="A5" s="318">
        <v>63</v>
      </c>
      <c r="B5" s="32" t="s">
        <v>647</v>
      </c>
      <c r="C5" s="32" t="s">
        <v>648</v>
      </c>
      <c r="D5" s="32" t="s">
        <v>649</v>
      </c>
    </row>
    <row r="6" spans="1:4" ht="26.25">
      <c r="A6" s="184"/>
      <c r="B6" s="185" t="str">
        <f>IFERROR(INDEX(_8.10[],MATCH(språk,_8.10[[id]:[id]],0),MATCH(B$5,_8.10[#Headers],0)),"")</f>
        <v>Estimated deliveries to the detached house market</v>
      </c>
      <c r="C6" s="185" t="str">
        <f>IFERROR(INDEX(_8.10[],MATCH(språk,_8.10[[id]:[id]],0),MATCH(C$5,_8.10[#Headers],0)),"")</f>
        <v>Supply excluding detached houses</v>
      </c>
      <c r="D6" s="185" t="str">
        <f>IFERROR(INDEX(_8.10[],MATCH(språk,_8.10[[id]:[id]],0),MATCH(D$5,_8.10[#Headers],0)),"")</f>
        <v>Net imports</v>
      </c>
    </row>
    <row r="7" spans="1:4" ht="15.95" customHeight="1">
      <c r="A7" s="811">
        <v>1997</v>
      </c>
      <c r="B7" s="814">
        <v>0.18720000000000001</v>
      </c>
      <c r="C7" s="814">
        <v>2.1830064</v>
      </c>
      <c r="D7" s="814">
        <v>0.26857439999999999</v>
      </c>
    </row>
    <row r="8" spans="1:4" ht="15.95" customHeight="1">
      <c r="A8" s="186">
        <v>1998</v>
      </c>
      <c r="B8" s="187">
        <v>0.27839999999999998</v>
      </c>
      <c r="C8" s="187">
        <v>2.2959263999999999</v>
      </c>
      <c r="D8" s="187">
        <v>0.33357599999999998</v>
      </c>
    </row>
    <row r="9" spans="1:4" ht="15.95" customHeight="1">
      <c r="A9" s="811">
        <v>1999</v>
      </c>
      <c r="B9" s="814">
        <v>0.38879999999999998</v>
      </c>
      <c r="C9" s="814">
        <v>2.6383103999999999</v>
      </c>
      <c r="D9" s="814">
        <v>0.43350720000000004</v>
      </c>
    </row>
    <row r="10" spans="1:4" ht="15.95" customHeight="1">
      <c r="A10" s="186">
        <v>2000</v>
      </c>
      <c r="B10" s="187">
        <v>0.38400000000000001</v>
      </c>
      <c r="C10" s="187">
        <v>2.9089536000000003</v>
      </c>
      <c r="D10" s="187">
        <v>0.6592271999999999</v>
      </c>
    </row>
    <row r="11" spans="1:4" ht="15.95" customHeight="1">
      <c r="A11" s="811">
        <v>2001</v>
      </c>
      <c r="B11" s="814">
        <v>0.72</v>
      </c>
      <c r="C11" s="814">
        <v>3.6301584</v>
      </c>
      <c r="D11" s="814">
        <v>0.59630399999999995</v>
      </c>
    </row>
    <row r="12" spans="1:4" ht="15.95" customHeight="1">
      <c r="A12" s="186">
        <v>2002</v>
      </c>
      <c r="B12" s="187">
        <v>1.1279999999999999</v>
      </c>
      <c r="C12" s="187">
        <v>3.2032224</v>
      </c>
      <c r="D12" s="187">
        <v>0.65205119999999994</v>
      </c>
    </row>
    <row r="13" spans="1:4" ht="15.95" customHeight="1">
      <c r="A13" s="811">
        <v>2003</v>
      </c>
      <c r="B13" s="814">
        <v>1.4256</v>
      </c>
      <c r="C13" s="814">
        <v>3.9924095999999998</v>
      </c>
      <c r="D13" s="814">
        <v>1.2466175999999998</v>
      </c>
    </row>
    <row r="14" spans="1:4" ht="15.95" customHeight="1">
      <c r="A14" s="186">
        <v>2004</v>
      </c>
      <c r="B14" s="187">
        <v>1.6559999999999999</v>
      </c>
      <c r="C14" s="187">
        <v>4.2792575999999993</v>
      </c>
      <c r="D14" s="187">
        <v>1.5422783999999998</v>
      </c>
    </row>
    <row r="15" spans="1:4" ht="15.95" customHeight="1">
      <c r="A15" s="811">
        <v>2005</v>
      </c>
      <c r="B15" s="814">
        <v>2.1983999999999999</v>
      </c>
      <c r="C15" s="814">
        <v>4.8719999999999999</v>
      </c>
      <c r="D15" s="814">
        <v>0.89326559999999999</v>
      </c>
    </row>
    <row r="16" spans="1:4" ht="15.95" customHeight="1">
      <c r="A16" s="186">
        <v>2006</v>
      </c>
      <c r="B16" s="187">
        <v>2.64</v>
      </c>
      <c r="C16" s="187">
        <v>5.4192</v>
      </c>
      <c r="D16" s="187">
        <v>1.0624175999999999</v>
      </c>
    </row>
    <row r="17" spans="1:4" ht="15.95" customHeight="1">
      <c r="A17" s="811">
        <v>2007</v>
      </c>
      <c r="B17" s="814">
        <v>2.8319999999999999</v>
      </c>
      <c r="C17" s="814">
        <v>5.4</v>
      </c>
      <c r="D17" s="814">
        <v>1.459104</v>
      </c>
    </row>
    <row r="18" spans="1:4" ht="15.95" customHeight="1">
      <c r="A18" s="186">
        <v>2008</v>
      </c>
      <c r="B18" s="187">
        <v>2.6303999999999998</v>
      </c>
      <c r="C18" s="187">
        <v>6.2496</v>
      </c>
      <c r="D18" s="187">
        <v>1.3000223999999998</v>
      </c>
    </row>
    <row r="19" spans="1:4" ht="15.95" customHeight="1">
      <c r="A19" s="811">
        <v>2009</v>
      </c>
      <c r="B19" s="814">
        <v>2.88</v>
      </c>
      <c r="C19" s="814">
        <v>6.3263999999999996</v>
      </c>
      <c r="D19" s="814">
        <v>1.6424496</v>
      </c>
    </row>
    <row r="20" spans="1:4" ht="15.95" customHeight="1">
      <c r="A20" s="186">
        <v>2010</v>
      </c>
      <c r="B20" s="187">
        <v>3</v>
      </c>
      <c r="C20" s="187">
        <v>7.944</v>
      </c>
      <c r="D20" s="187">
        <v>3.0260783999999998</v>
      </c>
    </row>
    <row r="21" spans="1:4" ht="15.95" customHeight="1">
      <c r="A21" s="811">
        <v>2011</v>
      </c>
      <c r="B21" s="814">
        <v>2.7360000000000002</v>
      </c>
      <c r="C21" s="814">
        <v>6.3</v>
      </c>
      <c r="D21" s="814">
        <v>2.5853231999999999</v>
      </c>
    </row>
    <row r="22" spans="1:4" ht="15.95" customHeight="1">
      <c r="A22" s="58">
        <v>2012</v>
      </c>
      <c r="B22" s="598">
        <v>2.6831999999999998</v>
      </c>
      <c r="C22" s="598">
        <v>5.4758399999999998</v>
      </c>
      <c r="D22" s="598">
        <v>1.738464</v>
      </c>
    </row>
    <row r="23" spans="1:4" ht="15.95" customHeight="1">
      <c r="A23" s="845">
        <v>2013</v>
      </c>
      <c r="B23" s="869">
        <v>2.7408000000000001</v>
      </c>
      <c r="C23" s="869">
        <v>6.1677647999999996</v>
      </c>
      <c r="D23" s="869">
        <v>2.6408063999999998</v>
      </c>
    </row>
    <row r="24" spans="1:4" ht="15.95" customHeight="1">
      <c r="A24" s="58">
        <v>2014</v>
      </c>
      <c r="B24" s="598">
        <v>2.5535040000000002</v>
      </c>
      <c r="C24" s="598">
        <v>5.3511263999999992</v>
      </c>
      <c r="D24" s="598">
        <v>0.87133440000000006</v>
      </c>
    </row>
    <row r="25" spans="1:4" ht="15.95" customHeight="1">
      <c r="A25" s="845">
        <v>2015</v>
      </c>
      <c r="B25" s="869">
        <v>2.5692671999999996</v>
      </c>
      <c r="C25" s="869">
        <v>5.3481120000000004</v>
      </c>
      <c r="D25" s="869">
        <v>0.48675359999999995</v>
      </c>
    </row>
    <row r="26" spans="1:4" ht="15.95" customHeight="1"/>
    <row r="27" spans="1:4">
      <c r="A27" s="318" t="s">
        <v>267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theme="0"/>
  </sheetPr>
  <dimension ref="A1:J34"/>
  <sheetViews>
    <sheetView showGridLines="0" zoomScaleNormal="100" workbookViewId="0">
      <pane ySplit="6" topLeftCell="A7" activePane="bottomLeft" state="frozen"/>
      <selection pane="bottomLeft" activeCell="B1" sqref="B1"/>
    </sheetView>
  </sheetViews>
  <sheetFormatPr defaultColWidth="9.1328125" defaultRowHeight="12.75"/>
  <cols>
    <col min="1" max="1" width="8" style="259" customWidth="1"/>
    <col min="2" max="6" width="14.73046875" style="259" customWidth="1"/>
    <col min="7" max="16384" width="9.1328125" style="259"/>
  </cols>
  <sheetData>
    <row r="1" spans="1:10" ht="13.15">
      <c r="A1" s="524" t="str">
        <f>IF(språk=lista[[#Headers],[Svenska]],"Innehåll",IF(språk=lista[[#Headers],[English]],"Contents","FEL"))</f>
        <v>Contents</v>
      </c>
    </row>
    <row r="2" spans="1:10" ht="15.95" customHeight="1"/>
    <row r="3" spans="1:10" ht="15.95" customHeight="1">
      <c r="A3" s="391" t="str">
        <f>IFERROR(INDEX(lista[],MATCH($A5,lista[ID],0),MATCH(språk,lista[#Headers],0)),"")</f>
        <v>Wood fuel and peat prices for heating plants, from 1993, nominal prices, SEK/MWh</v>
      </c>
      <c r="B3" s="392"/>
      <c r="C3" s="392"/>
      <c r="D3" s="392"/>
      <c r="E3" s="392"/>
      <c r="F3" s="392"/>
      <c r="G3" s="392"/>
      <c r="H3" s="392"/>
    </row>
    <row r="4" spans="1:10" ht="15.95" customHeight="1">
      <c r="A4" s="399"/>
      <c r="B4" s="392"/>
      <c r="C4" s="392"/>
      <c r="D4" s="392"/>
      <c r="E4" s="392"/>
      <c r="F4" s="392"/>
      <c r="G4" s="392"/>
      <c r="H4" s="392"/>
    </row>
    <row r="5" spans="1:10" s="284" customFormat="1" ht="15.95" hidden="1" customHeight="1">
      <c r="A5" s="284">
        <v>64</v>
      </c>
      <c r="B5" s="283" t="s">
        <v>647</v>
      </c>
      <c r="C5" s="283" t="s">
        <v>648</v>
      </c>
      <c r="D5" s="283" t="s">
        <v>649</v>
      </c>
      <c r="E5" s="283" t="s">
        <v>650</v>
      </c>
      <c r="F5" s="283" t="s">
        <v>651</v>
      </c>
      <c r="G5" s="283"/>
      <c r="H5" s="556"/>
      <c r="I5" s="557"/>
      <c r="J5" s="557"/>
    </row>
    <row r="6" spans="1:10" s="260" customFormat="1" ht="26.25">
      <c r="A6" s="427"/>
      <c r="B6" s="429" t="str">
        <f>IFERROR(INDEX(_8.11[],MATCH(språk,_8.11[[id]:[id]],0),MATCH(B$5,_8.11[#Headers],0)),"")</f>
        <v>Densified wood fuels</v>
      </c>
      <c r="C6" s="429" t="str">
        <f>IFERROR(INDEX(_8.11[],MATCH(språk,_8.11[[id]:[id]],0),MATCH(C$5,_8.11[#Headers],0)),"")</f>
        <v>Wood chips</v>
      </c>
      <c r="D6" s="429" t="str">
        <f>IFERROR(INDEX(_8.11[],MATCH(språk,_8.11[[id]:[id]],0),MATCH(D$5,_8.11[#Headers],0)),"")</f>
        <v>By-products</v>
      </c>
      <c r="E6" s="429" t="str">
        <f>IFERROR(INDEX(_8.11[],MATCH(språk,_8.11[[id]:[id]],0),MATCH(E$5,_8.11[#Headers],0)),"")</f>
        <v>Milled peat</v>
      </c>
      <c r="F6" s="429" t="str">
        <f>IFERROR(INDEX(_8.11[],MATCH(språk,_8.11[[id]:[id]],0),MATCH(F$5,_8.11[#Headers],0)),"")</f>
        <v>Recycled wood</v>
      </c>
      <c r="G6" s="262"/>
      <c r="H6" s="558"/>
      <c r="I6" s="558"/>
      <c r="J6" s="558"/>
    </row>
    <row r="7" spans="1:10" ht="15.95" customHeight="1">
      <c r="A7" s="815">
        <v>1993</v>
      </c>
      <c r="B7" s="816"/>
      <c r="C7" s="816">
        <v>119</v>
      </c>
      <c r="D7" s="816">
        <v>93</v>
      </c>
      <c r="E7" s="816">
        <v>120</v>
      </c>
      <c r="F7" s="816"/>
      <c r="G7" s="261"/>
      <c r="H7" s="559"/>
      <c r="I7" s="559"/>
      <c r="J7" s="559"/>
    </row>
    <row r="8" spans="1:10" ht="15.95" customHeight="1">
      <c r="A8" s="428">
        <v>1994</v>
      </c>
      <c r="B8" s="430">
        <v>143</v>
      </c>
      <c r="C8" s="430">
        <v>109</v>
      </c>
      <c r="D8" s="430">
        <v>85</v>
      </c>
      <c r="E8" s="430">
        <v>104</v>
      </c>
      <c r="F8" s="430"/>
      <c r="G8" s="261"/>
    </row>
    <row r="9" spans="1:10" ht="15.95" customHeight="1">
      <c r="A9" s="815">
        <v>1995</v>
      </c>
      <c r="B9" s="817">
        <v>146</v>
      </c>
      <c r="C9" s="817">
        <v>109</v>
      </c>
      <c r="D9" s="817">
        <v>91</v>
      </c>
      <c r="E9" s="817">
        <v>113</v>
      </c>
      <c r="F9" s="817"/>
      <c r="G9" s="261"/>
    </row>
    <row r="10" spans="1:10" ht="15.95" customHeight="1">
      <c r="A10" s="428">
        <v>1996</v>
      </c>
      <c r="B10" s="430">
        <v>157</v>
      </c>
      <c r="C10" s="430">
        <v>112</v>
      </c>
      <c r="D10" s="430">
        <v>99</v>
      </c>
      <c r="E10" s="430">
        <v>120</v>
      </c>
      <c r="F10" s="430"/>
      <c r="G10" s="261"/>
    </row>
    <row r="11" spans="1:10" ht="15.95" customHeight="1">
      <c r="A11" s="815">
        <v>1997</v>
      </c>
      <c r="B11" s="817">
        <v>152</v>
      </c>
      <c r="C11" s="817">
        <v>113</v>
      </c>
      <c r="D11" s="817">
        <v>94</v>
      </c>
      <c r="E11" s="817">
        <v>109</v>
      </c>
      <c r="F11" s="817"/>
      <c r="G11" s="261"/>
    </row>
    <row r="12" spans="1:10" ht="15.95" customHeight="1">
      <c r="A12" s="428">
        <v>1998</v>
      </c>
      <c r="B12" s="430">
        <v>161</v>
      </c>
      <c r="C12" s="430">
        <v>115</v>
      </c>
      <c r="D12" s="430">
        <v>98</v>
      </c>
      <c r="E12" s="430">
        <v>99</v>
      </c>
      <c r="F12" s="430">
        <v>69</v>
      </c>
      <c r="G12" s="261"/>
    </row>
    <row r="13" spans="1:10" ht="15.95" customHeight="1">
      <c r="A13" s="815">
        <v>1999</v>
      </c>
      <c r="B13" s="817">
        <v>164</v>
      </c>
      <c r="C13" s="817">
        <v>115</v>
      </c>
      <c r="D13" s="817">
        <v>96</v>
      </c>
      <c r="E13" s="817">
        <v>111</v>
      </c>
      <c r="F13" s="817">
        <v>78</v>
      </c>
      <c r="G13" s="261"/>
    </row>
    <row r="14" spans="1:10" ht="15.95" customHeight="1">
      <c r="A14" s="428">
        <v>2000</v>
      </c>
      <c r="B14" s="430">
        <v>168</v>
      </c>
      <c r="C14" s="430">
        <v>112</v>
      </c>
      <c r="D14" s="430">
        <v>89</v>
      </c>
      <c r="E14" s="430">
        <v>108</v>
      </c>
      <c r="F14" s="430">
        <v>69</v>
      </c>
      <c r="G14" s="261"/>
    </row>
    <row r="15" spans="1:10" ht="15.95" customHeight="1">
      <c r="A15" s="815">
        <v>2001</v>
      </c>
      <c r="B15" s="817">
        <v>163</v>
      </c>
      <c r="C15" s="817">
        <v>109</v>
      </c>
      <c r="D15" s="817">
        <v>96</v>
      </c>
      <c r="E15" s="817">
        <v>113</v>
      </c>
      <c r="F15" s="817">
        <v>66</v>
      </c>
      <c r="G15" s="261"/>
    </row>
    <row r="16" spans="1:10" ht="15.95" customHeight="1">
      <c r="A16" s="428">
        <v>2002</v>
      </c>
      <c r="B16" s="430">
        <v>178</v>
      </c>
      <c r="C16" s="430">
        <v>124</v>
      </c>
      <c r="D16" s="430">
        <v>104</v>
      </c>
      <c r="E16" s="430">
        <v>114</v>
      </c>
      <c r="F16" s="430">
        <v>69</v>
      </c>
      <c r="G16" s="261"/>
    </row>
    <row r="17" spans="1:7" ht="15.95" customHeight="1">
      <c r="A17" s="815">
        <v>2003</v>
      </c>
      <c r="B17" s="817">
        <v>196</v>
      </c>
      <c r="C17" s="817">
        <v>126</v>
      </c>
      <c r="D17" s="817">
        <v>109</v>
      </c>
      <c r="E17" s="817">
        <v>116</v>
      </c>
      <c r="F17" s="817">
        <v>71</v>
      </c>
      <c r="G17" s="261"/>
    </row>
    <row r="18" spans="1:7" ht="15.95" customHeight="1">
      <c r="A18" s="428">
        <v>2004</v>
      </c>
      <c r="B18" s="431">
        <v>206</v>
      </c>
      <c r="C18" s="431">
        <v>138</v>
      </c>
      <c r="D18" s="431">
        <v>114</v>
      </c>
      <c r="E18" s="431">
        <v>116</v>
      </c>
      <c r="F18" s="431">
        <v>74</v>
      </c>
      <c r="G18" s="261"/>
    </row>
    <row r="19" spans="1:7" ht="15.95" customHeight="1">
      <c r="A19" s="815">
        <v>2005</v>
      </c>
      <c r="B19" s="817">
        <v>204</v>
      </c>
      <c r="C19" s="817">
        <v>137</v>
      </c>
      <c r="D19" s="817">
        <v>121</v>
      </c>
      <c r="E19" s="817">
        <v>105</v>
      </c>
      <c r="F19" s="817">
        <v>80</v>
      </c>
      <c r="G19" s="261"/>
    </row>
    <row r="20" spans="1:7" ht="15.95" customHeight="1">
      <c r="A20" s="428">
        <v>2006</v>
      </c>
      <c r="B20" s="431">
        <v>211</v>
      </c>
      <c r="C20" s="431">
        <v>146</v>
      </c>
      <c r="D20" s="431">
        <v>128</v>
      </c>
      <c r="E20" s="431">
        <v>116</v>
      </c>
      <c r="F20" s="431">
        <v>78</v>
      </c>
      <c r="G20" s="261"/>
    </row>
    <row r="21" spans="1:7" ht="15.95" customHeight="1">
      <c r="A21" s="815">
        <v>2007</v>
      </c>
      <c r="B21" s="817">
        <v>244</v>
      </c>
      <c r="C21" s="817">
        <v>158</v>
      </c>
      <c r="D21" s="817">
        <v>134</v>
      </c>
      <c r="E21" s="817">
        <v>126</v>
      </c>
      <c r="F21" s="818">
        <v>64</v>
      </c>
      <c r="G21" s="261"/>
    </row>
    <row r="22" spans="1:7" ht="15.95" customHeight="1">
      <c r="A22" s="428">
        <v>2008</v>
      </c>
      <c r="B22" s="430">
        <v>271</v>
      </c>
      <c r="C22" s="430">
        <v>167</v>
      </c>
      <c r="D22" s="430">
        <v>157</v>
      </c>
      <c r="E22" s="430">
        <v>123</v>
      </c>
      <c r="F22" s="430">
        <v>69</v>
      </c>
      <c r="G22" s="261"/>
    </row>
    <row r="23" spans="1:7" ht="15.95" customHeight="1">
      <c r="A23" s="815">
        <v>2009</v>
      </c>
      <c r="B23" s="817">
        <v>298</v>
      </c>
      <c r="C23" s="817">
        <v>181</v>
      </c>
      <c r="D23" s="817">
        <v>170</v>
      </c>
      <c r="E23" s="817">
        <v>149</v>
      </c>
      <c r="F23" s="817">
        <v>78</v>
      </c>
      <c r="G23" s="261"/>
    </row>
    <row r="24" spans="1:7" ht="15.95" customHeight="1">
      <c r="A24" s="428">
        <v>2010</v>
      </c>
      <c r="B24" s="431">
        <v>300</v>
      </c>
      <c r="C24" s="431">
        <v>197</v>
      </c>
      <c r="D24" s="431">
        <v>179</v>
      </c>
      <c r="E24" s="431">
        <v>141</v>
      </c>
      <c r="F24" s="431">
        <v>107</v>
      </c>
      <c r="G24" s="261"/>
    </row>
    <row r="25" spans="1:7" ht="15.95" customHeight="1">
      <c r="A25" s="815">
        <v>2011</v>
      </c>
      <c r="B25" s="817">
        <v>300</v>
      </c>
      <c r="C25" s="817">
        <v>214</v>
      </c>
      <c r="D25" s="817">
        <v>184</v>
      </c>
      <c r="E25" s="817">
        <v>146</v>
      </c>
      <c r="F25" s="817">
        <v>117</v>
      </c>
      <c r="G25" s="261"/>
    </row>
    <row r="26" spans="1:7" ht="15.95" customHeight="1">
      <c r="A26" s="428">
        <v>2012</v>
      </c>
      <c r="B26" s="431">
        <v>292</v>
      </c>
      <c r="C26" s="431">
        <v>209</v>
      </c>
      <c r="D26" s="431">
        <v>185</v>
      </c>
      <c r="E26" s="431">
        <v>140</v>
      </c>
      <c r="F26" s="431">
        <v>115</v>
      </c>
      <c r="G26" s="261"/>
    </row>
    <row r="27" spans="1:7" ht="15.95" customHeight="1">
      <c r="A27" s="815">
        <v>2013</v>
      </c>
      <c r="B27" s="817">
        <v>296</v>
      </c>
      <c r="C27" s="817">
        <v>199</v>
      </c>
      <c r="D27" s="817">
        <v>179</v>
      </c>
      <c r="E27" s="817">
        <v>145</v>
      </c>
      <c r="F27" s="817">
        <v>102</v>
      </c>
    </row>
    <row r="28" spans="1:7" ht="15.95" customHeight="1">
      <c r="A28" s="428">
        <v>2014</v>
      </c>
      <c r="B28" s="431">
        <v>277</v>
      </c>
      <c r="C28" s="431">
        <v>192</v>
      </c>
      <c r="D28" s="431">
        <v>167</v>
      </c>
      <c r="E28" s="431">
        <v>149</v>
      </c>
      <c r="F28" s="431">
        <v>93</v>
      </c>
      <c r="G28" s="261"/>
    </row>
    <row r="29" spans="1:7" ht="15.95" customHeight="1">
      <c r="A29" s="815">
        <v>2015</v>
      </c>
      <c r="B29" s="817">
        <v>286</v>
      </c>
      <c r="C29" s="817">
        <v>186</v>
      </c>
      <c r="D29" s="817">
        <v>159</v>
      </c>
      <c r="E29" s="817">
        <v>155</v>
      </c>
      <c r="F29" s="817">
        <v>97</v>
      </c>
    </row>
    <row r="30" spans="1:7" ht="15.95" customHeight="1">
      <c r="A30" s="428">
        <v>2016</v>
      </c>
      <c r="B30" s="431">
        <v>273</v>
      </c>
      <c r="C30" s="431">
        <v>181</v>
      </c>
      <c r="D30" s="431">
        <v>151</v>
      </c>
      <c r="E30" s="431">
        <v>155</v>
      </c>
      <c r="F30" s="431">
        <v>89</v>
      </c>
      <c r="G30" s="261"/>
    </row>
    <row r="31" spans="1:7" ht="15.95" customHeight="1"/>
    <row r="32" spans="1:7">
      <c r="A32" s="432" t="s">
        <v>220</v>
      </c>
    </row>
    <row r="33" spans="1:6">
      <c r="A33" s="432" t="s">
        <v>482</v>
      </c>
    </row>
    <row r="34" spans="1:6" ht="35.25" customHeight="1">
      <c r="A34" s="1067" t="s">
        <v>507</v>
      </c>
      <c r="B34" s="1067"/>
      <c r="C34" s="1067"/>
      <c r="D34" s="1067"/>
      <c r="E34" s="1067"/>
      <c r="F34" s="1067"/>
    </row>
  </sheetData>
  <mergeCells count="1">
    <mergeCell ref="A34:F3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theme="6" tint="0.39997558519241921"/>
  </sheetPr>
  <dimension ref="A1:J42"/>
  <sheetViews>
    <sheetView zoomScaleNormal="100" workbookViewId="0">
      <pane ySplit="6" topLeftCell="A7" activePane="bottomLeft" state="frozen"/>
      <selection pane="bottomLeft" activeCell="D1" sqref="D1"/>
    </sheetView>
  </sheetViews>
  <sheetFormatPr defaultColWidth="9.1328125" defaultRowHeight="14.25"/>
  <cols>
    <col min="1" max="1" width="9.1328125" style="549"/>
    <col min="2" max="2" width="7.59765625" style="549" bestFit="1" customWidth="1"/>
    <col min="3" max="3" width="8.73046875" style="549" bestFit="1" customWidth="1"/>
    <col min="4" max="4" width="10.1328125" style="549" bestFit="1" customWidth="1"/>
    <col min="5" max="5" width="11.1328125" style="549" bestFit="1" customWidth="1"/>
    <col min="6" max="6" width="14.265625" style="549" customWidth="1"/>
    <col min="7" max="7" width="10.3984375" style="549" bestFit="1" customWidth="1"/>
    <col min="8" max="8" width="10.265625" style="549" customWidth="1"/>
    <col min="9" max="9" width="9.1328125" style="549" customWidth="1"/>
    <col min="10" max="16384" width="9.1328125" style="549"/>
  </cols>
  <sheetData>
    <row r="1" spans="1:9">
      <c r="A1" s="524" t="str">
        <f>IF(språk=lista[[#Headers],[Svenska]],"Innehåll",IF(språk=lista[[#Headers],[English]],"Contents","FEL"))</f>
        <v>Contents</v>
      </c>
    </row>
    <row r="3" spans="1:9" ht="15.75">
      <c r="A3" s="401" t="str">
        <f>IFERROR(INDEX(lista[],MATCH($A5,lista[ID],0),MATCH(språk,lista[#Headers],0)),"")</f>
        <v xml:space="preserve">Final use of petroleum products, by sector, from 1983, TWh </v>
      </c>
      <c r="B3" s="401"/>
      <c r="C3" s="401"/>
      <c r="D3" s="401"/>
      <c r="E3" s="401"/>
      <c r="F3" s="401"/>
      <c r="G3" s="401"/>
    </row>
    <row r="5" spans="1:9" hidden="1">
      <c r="A5" s="549">
        <v>66</v>
      </c>
      <c r="B5" s="549" t="s">
        <v>647</v>
      </c>
      <c r="C5" s="549" t="s">
        <v>648</v>
      </c>
      <c r="D5" s="549" t="s">
        <v>649</v>
      </c>
      <c r="E5" s="549" t="s">
        <v>650</v>
      </c>
      <c r="F5" s="549" t="s">
        <v>651</v>
      </c>
      <c r="G5" s="549" t="s">
        <v>652</v>
      </c>
      <c r="H5" s="549" t="s">
        <v>653</v>
      </c>
    </row>
    <row r="6" spans="1:9" s="981" customFormat="1" ht="39.75">
      <c r="A6" s="165"/>
      <c r="B6" s="1012" t="str">
        <f>IFERROR(INDEX(_9.1[],MATCH(språk,_9.1[[id]:[id]],0),MATCH(B$5,_9.1[#Headers],0)),"")</f>
        <v>Industry</v>
      </c>
      <c r="C6" s="1012" t="str">
        <f>IFERROR(INDEX(_9.1[],MATCH(språk,_9.1[[id]:[id]],0),MATCH(C$5,_9.1[#Headers],0)),"")</f>
        <v>Transport</v>
      </c>
      <c r="D6" s="980" t="str">
        <f>IFERROR(INDEX(_9.1[],MATCH(språk,_9.1[[id]:[id]],0),MATCH(D$5,_9.1[#Headers],0)),"")</f>
        <v>Agriculture, forestry, fishing</v>
      </c>
      <c r="E6" s="1012" t="str">
        <f>IFERROR(INDEX(_9.1[],MATCH(språk,_9.1[[id]:[id]],0),MATCH(E$5,_9.1[#Headers],0)),"")</f>
        <v>Construction</v>
      </c>
      <c r="F6" s="980" t="str">
        <f>IFERROR(INDEX(_9.1[],MATCH(språk,_9.1[[id]:[id]],0),MATCH(F$5,_9.1[#Headers],0)),"")</f>
        <v>Public administration</v>
      </c>
      <c r="G6" s="1012" t="str">
        <f>IFERROR(INDEX(_9.1[],MATCH(språk,_9.1[[id]:[id]],0),MATCH(G$5,_9.1[#Headers],0)),"")</f>
        <v>Commercial</v>
      </c>
      <c r="H6" s="1012" t="str">
        <f>IFERROR(INDEX(_9.1[],MATCH(språk,_9.1[[id]:[id]],0),MATCH(H$5,_9.1[#Headers],0)),"")</f>
        <v>Households</v>
      </c>
      <c r="I6" s="235" t="str">
        <f>IF(språk=lista[[#Headers],[Svenska]],"Totalt",IF(språk=lista[[#Headers],[English]],"Total","FEL"))</f>
        <v>Total</v>
      </c>
    </row>
    <row r="7" spans="1:9">
      <c r="A7" s="819">
        <v>1983</v>
      </c>
      <c r="B7" s="820">
        <v>33.834444444444443</v>
      </c>
      <c r="C7" s="820">
        <v>68.512222222222221</v>
      </c>
      <c r="D7" s="820">
        <v>6.016111111111111</v>
      </c>
      <c r="E7" s="820">
        <v>3.0686111111111107</v>
      </c>
      <c r="F7" s="820">
        <v>10.508611111111112</v>
      </c>
      <c r="G7" s="820">
        <v>4.1847222222222218</v>
      </c>
      <c r="H7" s="820">
        <v>32.915555555555557</v>
      </c>
      <c r="I7" s="821">
        <v>159.04027777777776</v>
      </c>
    </row>
    <row r="8" spans="1:9">
      <c r="A8" s="166">
        <v>1984</v>
      </c>
      <c r="B8" s="669">
        <v>31.789166666666663</v>
      </c>
      <c r="C8" s="669">
        <v>72.110277777777782</v>
      </c>
      <c r="D8" s="669">
        <v>5.8211111111111116</v>
      </c>
      <c r="E8" s="669">
        <v>3.0674999999999999</v>
      </c>
      <c r="F8" s="669">
        <v>9.2222222222222232</v>
      </c>
      <c r="G8" s="669">
        <v>3.878333333333333</v>
      </c>
      <c r="H8" s="669">
        <v>28.60361111111111</v>
      </c>
      <c r="I8" s="670">
        <v>154.49222222222221</v>
      </c>
    </row>
    <row r="9" spans="1:9">
      <c r="A9" s="819">
        <v>1985</v>
      </c>
      <c r="B9" s="820">
        <v>30.943055555555556</v>
      </c>
      <c r="C9" s="820">
        <v>73.051111111111112</v>
      </c>
      <c r="D9" s="820">
        <v>6.0788888888888888</v>
      </c>
      <c r="E9" s="820">
        <v>3.0083333333333333</v>
      </c>
      <c r="F9" s="820">
        <v>9.2125000000000004</v>
      </c>
      <c r="G9" s="820">
        <v>3.8250000000000002</v>
      </c>
      <c r="H9" s="820">
        <v>27.291666666666664</v>
      </c>
      <c r="I9" s="821">
        <v>153.41055555555556</v>
      </c>
    </row>
    <row r="10" spans="1:9">
      <c r="A10" s="166">
        <v>1986</v>
      </c>
      <c r="B10" s="669">
        <v>28.697777777777777</v>
      </c>
      <c r="C10" s="669">
        <v>76.364999999999995</v>
      </c>
      <c r="D10" s="669">
        <v>6.12</v>
      </c>
      <c r="E10" s="669">
        <v>3.0577777777777779</v>
      </c>
      <c r="F10" s="669">
        <v>6.6488888888888891</v>
      </c>
      <c r="G10" s="669">
        <v>3.0455555555555556</v>
      </c>
      <c r="H10" s="669">
        <v>25.617222222222221</v>
      </c>
      <c r="I10" s="670">
        <v>149.55222222222221</v>
      </c>
    </row>
    <row r="11" spans="1:9">
      <c r="A11" s="819">
        <v>1987</v>
      </c>
      <c r="B11" s="820">
        <v>27.022777777777776</v>
      </c>
      <c r="C11" s="820">
        <v>78.75</v>
      </c>
      <c r="D11" s="820">
        <v>6.0527777777777771</v>
      </c>
      <c r="E11" s="820">
        <v>3.1172222222222223</v>
      </c>
      <c r="F11" s="820">
        <v>6.3930555555555557</v>
      </c>
      <c r="G11" s="820">
        <v>5.0155555555555553</v>
      </c>
      <c r="H11" s="820">
        <v>27.395</v>
      </c>
      <c r="I11" s="821">
        <v>153.7463888888889</v>
      </c>
    </row>
    <row r="12" spans="1:9">
      <c r="A12" s="166">
        <v>1988</v>
      </c>
      <c r="B12" s="669">
        <v>24.0425</v>
      </c>
      <c r="C12" s="669">
        <v>82.486666666666665</v>
      </c>
      <c r="D12" s="669">
        <v>5.9730555555555558</v>
      </c>
      <c r="E12" s="669">
        <v>3.1069444444444443</v>
      </c>
      <c r="F12" s="669">
        <v>7.7491666666666656</v>
      </c>
      <c r="G12" s="669">
        <v>3.2349999999999999</v>
      </c>
      <c r="H12" s="669">
        <v>24.898611111111109</v>
      </c>
      <c r="I12" s="670">
        <v>151.49194444444447</v>
      </c>
    </row>
    <row r="13" spans="1:9">
      <c r="A13" s="819">
        <v>1989</v>
      </c>
      <c r="B13" s="820">
        <v>22.204722222222223</v>
      </c>
      <c r="C13" s="820">
        <v>83.881388888888893</v>
      </c>
      <c r="D13" s="820">
        <v>5.7977777777777773</v>
      </c>
      <c r="E13" s="820">
        <v>3.0480555555555555</v>
      </c>
      <c r="F13" s="820">
        <v>6.4586111111111117</v>
      </c>
      <c r="G13" s="820">
        <v>3.1475</v>
      </c>
      <c r="H13" s="820">
        <v>23.065833333333334</v>
      </c>
      <c r="I13" s="821">
        <v>147.60388888888889</v>
      </c>
    </row>
    <row r="14" spans="1:9">
      <c r="A14" s="166">
        <v>1990</v>
      </c>
      <c r="B14" s="669">
        <v>20.781944444444445</v>
      </c>
      <c r="C14" s="669">
        <v>74.145736629781084</v>
      </c>
      <c r="D14" s="669">
        <v>6.1358333333333333</v>
      </c>
      <c r="E14" s="669">
        <v>3.1666666666666665</v>
      </c>
      <c r="F14" s="669">
        <v>5.9672222222222215</v>
      </c>
      <c r="G14" s="669">
        <v>3.15</v>
      </c>
      <c r="H14" s="669">
        <v>22.698333333333331</v>
      </c>
      <c r="I14" s="670">
        <v>136.04573662978109</v>
      </c>
    </row>
    <row r="15" spans="1:9">
      <c r="A15" s="819">
        <v>1991</v>
      </c>
      <c r="B15" s="820">
        <v>18.191111111111109</v>
      </c>
      <c r="C15" s="820">
        <v>73.223154797542122</v>
      </c>
      <c r="D15" s="820">
        <v>5.86</v>
      </c>
      <c r="E15" s="820">
        <v>3.2258333333333331</v>
      </c>
      <c r="F15" s="820">
        <v>5.5933333333333328</v>
      </c>
      <c r="G15" s="820">
        <v>3.3008333333333328</v>
      </c>
      <c r="H15" s="820">
        <v>22.396111111111111</v>
      </c>
      <c r="I15" s="821">
        <v>131.79037701976432</v>
      </c>
    </row>
    <row r="16" spans="1:9">
      <c r="A16" s="166">
        <v>1992</v>
      </c>
      <c r="B16" s="669">
        <v>17.395555555555553</v>
      </c>
      <c r="C16" s="669">
        <v>74.405140314208793</v>
      </c>
      <c r="D16" s="669">
        <v>5.7474999999999996</v>
      </c>
      <c r="E16" s="669">
        <v>3.0477777777777777</v>
      </c>
      <c r="F16" s="669">
        <v>4.1413888888888888</v>
      </c>
      <c r="G16" s="669">
        <v>3.5186111111111109</v>
      </c>
      <c r="H16" s="669">
        <v>21.306944444444444</v>
      </c>
      <c r="I16" s="670">
        <v>129.56291809198657</v>
      </c>
    </row>
    <row r="17" spans="1:10">
      <c r="A17" s="819">
        <v>1993</v>
      </c>
      <c r="B17" s="820">
        <v>18.98</v>
      </c>
      <c r="C17" s="820">
        <v>70.952077594270577</v>
      </c>
      <c r="D17" s="820">
        <v>6.0741666666666667</v>
      </c>
      <c r="E17" s="820">
        <v>3.0183333333333335</v>
      </c>
      <c r="F17" s="820">
        <v>4.1974999999999998</v>
      </c>
      <c r="G17" s="820">
        <v>3.7683333333333331</v>
      </c>
      <c r="H17" s="820">
        <v>20.944722222222222</v>
      </c>
      <c r="I17" s="821">
        <v>127.93513314982614</v>
      </c>
    </row>
    <row r="18" spans="1:10">
      <c r="A18" s="166">
        <v>1994</v>
      </c>
      <c r="B18" s="669">
        <v>21.671388888888888</v>
      </c>
      <c r="C18" s="669">
        <v>72.425444660125606</v>
      </c>
      <c r="D18" s="669">
        <v>6.1613888888888884</v>
      </c>
      <c r="E18" s="669">
        <v>2.9183333333333334</v>
      </c>
      <c r="F18" s="669">
        <v>3.4316666666666666</v>
      </c>
      <c r="G18" s="669">
        <v>4.1116666666666672</v>
      </c>
      <c r="H18" s="669">
        <v>21.267499999999998</v>
      </c>
      <c r="I18" s="670">
        <v>131.98738910457007</v>
      </c>
    </row>
    <row r="19" spans="1:10">
      <c r="A19" s="819">
        <v>1995</v>
      </c>
      <c r="B19" s="820">
        <v>22.883611111111108</v>
      </c>
      <c r="C19" s="820">
        <v>73.890214886574128</v>
      </c>
      <c r="D19" s="820">
        <v>6.1825000000000001</v>
      </c>
      <c r="E19" s="820">
        <v>2.8294444444444444</v>
      </c>
      <c r="F19" s="820">
        <v>2.9877777777777776</v>
      </c>
      <c r="G19" s="820">
        <v>3.365277777777778</v>
      </c>
      <c r="H19" s="820">
        <v>20.7925</v>
      </c>
      <c r="I19" s="821">
        <v>132.93132599768524</v>
      </c>
    </row>
    <row r="20" spans="1:10">
      <c r="A20" s="166">
        <v>1996</v>
      </c>
      <c r="B20" s="669">
        <v>24.273055555555555</v>
      </c>
      <c r="C20" s="669">
        <v>73.352564912167097</v>
      </c>
      <c r="D20" s="669">
        <v>6.3827777777777772</v>
      </c>
      <c r="E20" s="669">
        <v>2.8788888888888886</v>
      </c>
      <c r="F20" s="669">
        <v>2.7994444444444442</v>
      </c>
      <c r="G20" s="669">
        <v>3.8211111111111107</v>
      </c>
      <c r="H20" s="669">
        <v>20.832222222222221</v>
      </c>
      <c r="I20" s="670">
        <v>134.34006491216709</v>
      </c>
    </row>
    <row r="21" spans="1:10">
      <c r="A21" s="819">
        <v>1997</v>
      </c>
      <c r="B21" s="820">
        <v>25.7775</v>
      </c>
      <c r="C21" s="820">
        <v>73.147012151559935</v>
      </c>
      <c r="D21" s="820">
        <v>6.4891666666666659</v>
      </c>
      <c r="E21" s="820">
        <v>2.572222222222222</v>
      </c>
      <c r="F21" s="820">
        <v>2.4358333333333335</v>
      </c>
      <c r="G21" s="820">
        <v>3.4241666666666664</v>
      </c>
      <c r="H21" s="820">
        <v>18.495277777777776</v>
      </c>
      <c r="I21" s="821">
        <v>132.34117881822661</v>
      </c>
    </row>
    <row r="22" spans="1:10">
      <c r="A22" s="166">
        <v>1998</v>
      </c>
      <c r="B22" s="669">
        <v>24.055277777777778</v>
      </c>
      <c r="C22" s="669">
        <v>76.477323461871165</v>
      </c>
      <c r="D22" s="669">
        <v>6.3427777777777772</v>
      </c>
      <c r="E22" s="669">
        <v>2.612222222222222</v>
      </c>
      <c r="F22" s="669">
        <v>2.467222222222222</v>
      </c>
      <c r="G22" s="669">
        <v>3.1044444444444443</v>
      </c>
      <c r="H22" s="669">
        <v>17.548333333333332</v>
      </c>
      <c r="I22" s="670">
        <v>132.60760123964894</v>
      </c>
    </row>
    <row r="23" spans="1:10">
      <c r="A23" s="819">
        <v>1999</v>
      </c>
      <c r="B23" s="820">
        <v>24.01861111111111</v>
      </c>
      <c r="C23" s="820">
        <v>77.129883065481621</v>
      </c>
      <c r="D23" s="820">
        <v>6.3316666666666661</v>
      </c>
      <c r="E23" s="820">
        <v>2.7008333333333336</v>
      </c>
      <c r="F23" s="820">
        <v>2.3133333333333335</v>
      </c>
      <c r="G23" s="820">
        <v>3.2180555555555554</v>
      </c>
      <c r="H23" s="820">
        <v>15.807222222222222</v>
      </c>
      <c r="I23" s="821">
        <v>131.51960528770383</v>
      </c>
    </row>
    <row r="24" spans="1:10">
      <c r="A24" s="166">
        <v>2000</v>
      </c>
      <c r="B24" s="669">
        <v>21.584444444444447</v>
      </c>
      <c r="C24" s="669">
        <v>75.835602491681513</v>
      </c>
      <c r="D24" s="669">
        <v>6.2605555555555554</v>
      </c>
      <c r="E24" s="669">
        <v>2.7702777777777778</v>
      </c>
      <c r="F24" s="669">
        <v>2.2702777777777778</v>
      </c>
      <c r="G24" s="669">
        <v>3.0186111111111109</v>
      </c>
      <c r="H24" s="669">
        <v>15.695833333333333</v>
      </c>
      <c r="I24" s="670">
        <v>127.43560249168152</v>
      </c>
    </row>
    <row r="25" spans="1:10">
      <c r="A25" s="819">
        <v>2001</v>
      </c>
      <c r="B25" s="820">
        <v>20.189722222222223</v>
      </c>
      <c r="C25" s="820">
        <v>78.142040644567459</v>
      </c>
      <c r="D25" s="820">
        <v>7.2488888888888887</v>
      </c>
      <c r="E25" s="820">
        <v>2.848611111111111</v>
      </c>
      <c r="F25" s="820">
        <v>1.7</v>
      </c>
      <c r="G25" s="820">
        <v>3.2652777777777779</v>
      </c>
      <c r="H25" s="820">
        <v>13.1075</v>
      </c>
      <c r="I25" s="821">
        <v>126.50204064456747</v>
      </c>
    </row>
    <row r="26" spans="1:10">
      <c r="A26" s="166">
        <v>2002</v>
      </c>
      <c r="B26" s="669">
        <v>18.986666666666668</v>
      </c>
      <c r="C26" s="669">
        <v>82.208229234669176</v>
      </c>
      <c r="D26" s="669">
        <v>7.4088888888888889</v>
      </c>
      <c r="E26" s="669">
        <v>2.848611111111111</v>
      </c>
      <c r="F26" s="669">
        <v>1.5430555555555554</v>
      </c>
      <c r="G26" s="669">
        <v>2.7149999999999999</v>
      </c>
      <c r="H26" s="669">
        <v>11.7775</v>
      </c>
      <c r="I26" s="670">
        <v>127.48795145689139</v>
      </c>
    </row>
    <row r="27" spans="1:10">
      <c r="A27" s="819">
        <v>2003</v>
      </c>
      <c r="B27" s="820">
        <v>21.338333333333331</v>
      </c>
      <c r="C27" s="820">
        <v>83.371697406552471</v>
      </c>
      <c r="D27" s="820">
        <v>7.6930555555555555</v>
      </c>
      <c r="E27" s="820">
        <v>1.8819444444444444</v>
      </c>
      <c r="F27" s="820">
        <v>1.6541666666666666</v>
      </c>
      <c r="G27" s="820">
        <v>2.493611111111111</v>
      </c>
      <c r="H27" s="820">
        <v>10.708333333333334</v>
      </c>
      <c r="I27" s="821">
        <v>129.14114185099692</v>
      </c>
    </row>
    <row r="28" spans="1:10">
      <c r="A28" s="166">
        <v>2004</v>
      </c>
      <c r="B28" s="669">
        <v>19.574722222222224</v>
      </c>
      <c r="C28" s="669">
        <v>85.221677982974654</v>
      </c>
      <c r="D28" s="669">
        <v>6.5525000000000002</v>
      </c>
      <c r="E28" s="669">
        <v>1.8305555555555555</v>
      </c>
      <c r="F28" s="669">
        <v>1.463888888888889</v>
      </c>
      <c r="G28" s="669">
        <v>2.3266666666666667</v>
      </c>
      <c r="H28" s="669">
        <v>10.005833333333333</v>
      </c>
      <c r="I28" s="670">
        <v>126.9758446496413</v>
      </c>
    </row>
    <row r="29" spans="1:10">
      <c r="A29" s="819">
        <v>2005</v>
      </c>
      <c r="B29" s="820">
        <v>17.396111111111111</v>
      </c>
      <c r="C29" s="820">
        <v>86.144999999999996</v>
      </c>
      <c r="D29" s="820">
        <v>6.23</v>
      </c>
      <c r="E29" s="820">
        <v>2.7266666666666666</v>
      </c>
      <c r="F29" s="820">
        <v>1.0175000000000001</v>
      </c>
      <c r="G29" s="820">
        <v>1.835</v>
      </c>
      <c r="H29" s="820">
        <v>7.1372222222222215</v>
      </c>
      <c r="I29" s="821">
        <v>122.48749999999998</v>
      </c>
    </row>
    <row r="30" spans="1:10">
      <c r="A30" s="166">
        <v>2006</v>
      </c>
      <c r="B30" s="669">
        <v>17.452777777777776</v>
      </c>
      <c r="C30" s="669">
        <v>85.988611111111112</v>
      </c>
      <c r="D30" s="669">
        <v>6.1086111111111112</v>
      </c>
      <c r="E30" s="669">
        <v>2.8149999999999999</v>
      </c>
      <c r="F30" s="669">
        <v>0.69083333333333341</v>
      </c>
      <c r="G30" s="669">
        <v>1.9924999999999999</v>
      </c>
      <c r="H30" s="669">
        <v>4.9036111111111111</v>
      </c>
      <c r="I30" s="670">
        <v>119.95194444444445</v>
      </c>
    </row>
    <row r="31" spans="1:10">
      <c r="A31" s="819">
        <v>2007</v>
      </c>
      <c r="B31" s="820">
        <v>15.790833333333332</v>
      </c>
      <c r="C31" s="820">
        <v>86.390833333333333</v>
      </c>
      <c r="D31" s="820">
        <v>6.8344444444444434</v>
      </c>
      <c r="E31" s="820">
        <v>3.0244444444444443</v>
      </c>
      <c r="F31" s="820">
        <v>0.87055555555555553</v>
      </c>
      <c r="G31" s="820">
        <v>2.0680555555555555</v>
      </c>
      <c r="H31" s="820">
        <v>3.7655555555555558</v>
      </c>
      <c r="I31" s="821">
        <v>118.74472222222222</v>
      </c>
    </row>
    <row r="32" spans="1:10">
      <c r="A32" s="860">
        <v>2008</v>
      </c>
      <c r="B32" s="864">
        <v>15.934444444444443</v>
      </c>
      <c r="C32" s="864">
        <v>82.751944444444433</v>
      </c>
      <c r="D32" s="864">
        <v>6.6344444444444441</v>
      </c>
      <c r="E32" s="864">
        <v>3.1297222222222221</v>
      </c>
      <c r="F32" s="864">
        <v>0.57750000000000001</v>
      </c>
      <c r="G32" s="864">
        <v>1.7169444444444444</v>
      </c>
      <c r="H32" s="864">
        <v>3.0024999999999999</v>
      </c>
      <c r="I32" s="865">
        <v>113.74749999999999</v>
      </c>
      <c r="J32" s="579"/>
    </row>
    <row r="33" spans="1:10">
      <c r="A33" s="866">
        <v>2009</v>
      </c>
      <c r="B33" s="867">
        <v>13.277222222222223</v>
      </c>
      <c r="C33" s="867">
        <v>81.208333333333329</v>
      </c>
      <c r="D33" s="867">
        <v>6.4375</v>
      </c>
      <c r="E33" s="867">
        <v>3.0458333333333334</v>
      </c>
      <c r="F33" s="867">
        <v>0.52055555555555555</v>
      </c>
      <c r="G33" s="867">
        <v>1.4413888888888888</v>
      </c>
      <c r="H33" s="867">
        <v>2.3777777777777778</v>
      </c>
      <c r="I33" s="868">
        <v>108.30861111111112</v>
      </c>
      <c r="J33" s="579"/>
    </row>
    <row r="34" spans="1:10">
      <c r="A34" s="860">
        <v>2010</v>
      </c>
      <c r="B34" s="864">
        <v>14.337222222222223</v>
      </c>
      <c r="C34" s="864">
        <v>82.779166666666669</v>
      </c>
      <c r="D34" s="864">
        <v>6.8166666666666664</v>
      </c>
      <c r="E34" s="864">
        <v>3.0855555555555556</v>
      </c>
      <c r="F34" s="864">
        <v>0.52222222222222214</v>
      </c>
      <c r="G34" s="864">
        <v>1.8158333333333332</v>
      </c>
      <c r="H34" s="864">
        <v>2.1225000000000001</v>
      </c>
      <c r="I34" s="865">
        <v>111.47916666666667</v>
      </c>
      <c r="J34" s="579"/>
    </row>
    <row r="35" spans="1:10">
      <c r="A35" s="866">
        <v>2011</v>
      </c>
      <c r="B35" s="867">
        <v>12.489444444444443</v>
      </c>
      <c r="C35" s="867">
        <v>80.166111111111107</v>
      </c>
      <c r="D35" s="867">
        <v>6.8208333333333337</v>
      </c>
      <c r="E35" s="867">
        <v>3.1652777777777779</v>
      </c>
      <c r="F35" s="867">
        <v>0.41833333333333333</v>
      </c>
      <c r="G35" s="867">
        <v>1.6702777777777778</v>
      </c>
      <c r="H35" s="867">
        <v>1.618611111111111</v>
      </c>
      <c r="I35" s="868">
        <v>106.34888888888889</v>
      </c>
      <c r="J35" s="579"/>
    </row>
    <row r="36" spans="1:10">
      <c r="A36" s="860">
        <v>2012</v>
      </c>
      <c r="B36" s="864">
        <v>11.800833333333333</v>
      </c>
      <c r="C36" s="864">
        <v>75.606666666666669</v>
      </c>
      <c r="D36" s="864">
        <v>6.5794444444444435</v>
      </c>
      <c r="E36" s="864">
        <v>3.1669444444444443</v>
      </c>
      <c r="F36" s="864">
        <v>0.46361111111111108</v>
      </c>
      <c r="G36" s="864">
        <v>0.98638888888888887</v>
      </c>
      <c r="H36" s="864">
        <v>1.5622222222222222</v>
      </c>
      <c r="I36" s="865">
        <v>100.16611111111109</v>
      </c>
      <c r="J36" s="579"/>
    </row>
    <row r="37" spans="1:10">
      <c r="A37" s="866">
        <v>2013</v>
      </c>
      <c r="B37" s="867">
        <v>10.146111111111111</v>
      </c>
      <c r="C37" s="867">
        <v>73.343333333333334</v>
      </c>
      <c r="D37" s="867">
        <v>6.6222222222222218</v>
      </c>
      <c r="E37" s="867">
        <v>3.2655555555555558</v>
      </c>
      <c r="F37" s="867">
        <v>0.27277777777777779</v>
      </c>
      <c r="G37" s="867">
        <v>0.93027777777777776</v>
      </c>
      <c r="H37" s="867">
        <v>1.4516666666666667</v>
      </c>
      <c r="I37" s="868">
        <v>96.031944444444434</v>
      </c>
      <c r="J37" s="579"/>
    </row>
    <row r="38" spans="1:10">
      <c r="A38" s="860">
        <v>2014</v>
      </c>
      <c r="B38" s="864">
        <v>9.01</v>
      </c>
      <c r="C38" s="864">
        <v>71.093611111111116</v>
      </c>
      <c r="D38" s="864">
        <v>6.5788888888888888</v>
      </c>
      <c r="E38" s="864">
        <v>3.2838888888888889</v>
      </c>
      <c r="F38" s="864">
        <v>0.23944444444444443</v>
      </c>
      <c r="G38" s="864">
        <v>0.94666666666666666</v>
      </c>
      <c r="H38" s="864">
        <v>1.2530555555555554</v>
      </c>
      <c r="I38" s="865">
        <v>92.40555555555558</v>
      </c>
      <c r="J38" s="579"/>
    </row>
    <row r="39" spans="1:10">
      <c r="A39" s="866">
        <v>2015</v>
      </c>
      <c r="B39" s="867">
        <v>8.4519444444444431</v>
      </c>
      <c r="C39" s="867">
        <v>70.953888888888883</v>
      </c>
      <c r="D39" s="867">
        <v>6.3888888888888884</v>
      </c>
      <c r="E39" s="867">
        <v>3.4133333333333331</v>
      </c>
      <c r="F39" s="867">
        <v>0.24111111111111111</v>
      </c>
      <c r="G39" s="867">
        <v>0.78194444444444444</v>
      </c>
      <c r="H39" s="867">
        <v>1.2330555555555553</v>
      </c>
      <c r="I39" s="868">
        <v>91.464166666666657</v>
      </c>
      <c r="J39" s="579"/>
    </row>
    <row r="40" spans="1:10">
      <c r="A40" s="579"/>
      <c r="B40" s="192"/>
      <c r="C40" s="192"/>
      <c r="D40" s="192"/>
      <c r="E40" s="192"/>
      <c r="F40" s="192"/>
      <c r="G40" s="192"/>
      <c r="H40" s="192"/>
      <c r="I40" s="579"/>
      <c r="J40" s="579"/>
    </row>
    <row r="41" spans="1:10">
      <c r="A41" s="191" t="s">
        <v>27</v>
      </c>
      <c r="B41" s="579"/>
      <c r="C41" s="579"/>
      <c r="D41" s="579"/>
      <c r="E41" s="579"/>
      <c r="F41" s="579"/>
      <c r="G41" s="579"/>
      <c r="H41" s="579"/>
      <c r="I41" s="579"/>
      <c r="J41" s="579"/>
    </row>
    <row r="42" spans="1:10">
      <c r="A42" s="579"/>
      <c r="B42" s="579"/>
      <c r="C42" s="579"/>
      <c r="D42" s="579"/>
      <c r="E42" s="579"/>
      <c r="F42" s="579"/>
      <c r="G42" s="579"/>
      <c r="H42" s="579"/>
      <c r="I42" s="579"/>
      <c r="J42" s="57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theme="6" tint="0.39997558519241921"/>
  </sheetPr>
  <dimension ref="A1:J41"/>
  <sheetViews>
    <sheetView zoomScaleNormal="100" zoomScaleSheetLayoutView="80" zoomScalePageLayoutView="90" workbookViewId="0">
      <pane ySplit="6" topLeftCell="A7" activePane="bottomLeft" state="frozen"/>
      <selection pane="bottomLeft" activeCell="D1" sqref="D1"/>
    </sheetView>
  </sheetViews>
  <sheetFormatPr defaultColWidth="9" defaultRowHeight="13.15"/>
  <cols>
    <col min="1" max="1" width="9" style="217" customWidth="1"/>
    <col min="2" max="2" width="7" style="211" customWidth="1"/>
    <col min="3" max="3" width="8.1328125" style="211" customWidth="1"/>
    <col min="4" max="4" width="10.1328125" style="211" bestFit="1" customWidth="1"/>
    <col min="5" max="5" width="9.265625" style="211" customWidth="1"/>
    <col min="6" max="6" width="13.3984375" style="211" customWidth="1"/>
    <col min="7" max="7" width="14.1328125" style="211" customWidth="1"/>
    <col min="8" max="8" width="8.73046875" style="211" customWidth="1"/>
    <col min="9" max="9" width="7.265625" style="212" customWidth="1"/>
    <col min="10" max="10" width="13.3984375" style="211" customWidth="1"/>
    <col min="11" max="16384" width="9" style="211"/>
  </cols>
  <sheetData>
    <row r="1" spans="1:10" ht="15.95" customHeight="1">
      <c r="A1" s="524" t="str">
        <f>IF(språk=lista[[#Headers],[Svenska]],"Innehåll",IF(språk=lista[[#Headers],[English]],"Contents","FEL"))</f>
        <v>Contents</v>
      </c>
    </row>
    <row r="2" spans="1:10" ht="15.95" customHeight="1"/>
    <row r="3" spans="1:10" ht="15.95" customHeight="1">
      <c r="A3" s="433" t="str">
        <f>IFERROR(INDEX(lista[],MATCH($A5,lista[ID],0),MATCH(språk,lista[#Headers],0)),"")</f>
        <v xml:space="preserve">Final use of petroleum products, by product, from 1983, TWh </v>
      </c>
      <c r="B3" s="433"/>
      <c r="C3" s="433"/>
      <c r="D3" s="433"/>
      <c r="E3" s="433"/>
      <c r="F3" s="433"/>
      <c r="G3" s="433"/>
      <c r="H3" s="433"/>
      <c r="I3" s="433"/>
      <c r="J3" s="210"/>
    </row>
    <row r="4" spans="1:10" ht="15.95" customHeight="1">
      <c r="A4" s="400"/>
    </row>
    <row r="5" spans="1:10" s="279" customFormat="1" ht="15.95" hidden="1" customHeight="1">
      <c r="A5" s="276">
        <v>67</v>
      </c>
      <c r="B5" s="279" t="s">
        <v>647</v>
      </c>
      <c r="C5" s="279" t="s">
        <v>648</v>
      </c>
      <c r="D5" s="279" t="s">
        <v>649</v>
      </c>
      <c r="E5" s="279" t="s">
        <v>650</v>
      </c>
      <c r="F5" s="279" t="s">
        <v>651</v>
      </c>
      <c r="G5" s="279" t="s">
        <v>652</v>
      </c>
      <c r="H5" s="279" t="s">
        <v>653</v>
      </c>
      <c r="I5" s="280"/>
    </row>
    <row r="6" spans="1:10" s="526" customFormat="1" ht="26.25">
      <c r="A6" s="525"/>
      <c r="B6" s="205" t="str">
        <f>IFERROR(INDEX(_9.2[],MATCH(språk,_9.2[[id]:[id]],0),MATCH(B$5,_9.2[#Headers],0)),"")</f>
        <v>LPG</v>
      </c>
      <c r="C6" s="205" t="str">
        <f>IFERROR(INDEX(_9.2[],MATCH(språk,_9.2[[id]:[id]],0),MATCH(C$5,_9.2[#Headers],0)),"")</f>
        <v>Petrol</v>
      </c>
      <c r="D6" s="205" t="str">
        <f>IFERROR(INDEX(_9.2[],MATCH(språk,_9.2[[id]:[id]],0),MATCH(D$5,_9.2[#Headers],0)),"")</f>
        <v>Light distillates</v>
      </c>
      <c r="E6" s="205" t="str">
        <f>IFERROR(INDEX(_9.2[],MATCH(språk,_9.2[[id]:[id]],0),MATCH(E$5,_9.2[#Headers],0)),"")</f>
        <v>Diesel</v>
      </c>
      <c r="F6" s="205" t="str">
        <f>IFERROR(INDEX(_9.2[],MATCH(språk,_9.2[[id]:[id]],0),MATCH(F$5,_9.2[#Headers],0)),"")</f>
        <v>Light heating oil</v>
      </c>
      <c r="G6" s="205" t="str">
        <f>IFERROR(INDEX(_9.2[],MATCH(språk,_9.2[[id]:[id]],0),MATCH(G$5,_9.2[#Headers],0)),"")</f>
        <v>Heavy fuel oil</v>
      </c>
      <c r="H6" s="205" t="str">
        <f>IFERROR(INDEX(_9.2[],MATCH(språk,_9.2[[id]:[id]],0),MATCH(H$5,_9.2[#Headers],0)),"")</f>
        <v>Other</v>
      </c>
      <c r="I6" s="235" t="str">
        <f>IF(språk=lista[[#Headers],[Svenska]],"Totalt",IF(språk=lista[[#Headers],[English]],"Total","FEL"))</f>
        <v>Total</v>
      </c>
    </row>
    <row r="7" spans="1:10" ht="15.95" customHeight="1">
      <c r="A7" s="822">
        <v>1983</v>
      </c>
      <c r="B7" s="823">
        <v>2.3283333333333331</v>
      </c>
      <c r="C7" s="823">
        <v>42.173333333333332</v>
      </c>
      <c r="D7" s="823">
        <v>6.5588888888888892</v>
      </c>
      <c r="E7" s="823">
        <v>25.079444444444444</v>
      </c>
      <c r="F7" s="823">
        <v>44.395833333333336</v>
      </c>
      <c r="G7" s="823">
        <v>38.504444444444445</v>
      </c>
      <c r="H7" s="823">
        <v>0</v>
      </c>
      <c r="I7" s="824">
        <v>159.04027777777776</v>
      </c>
      <c r="J7" s="258"/>
    </row>
    <row r="8" spans="1:10" ht="15.95" customHeight="1">
      <c r="A8" s="213">
        <v>1984</v>
      </c>
      <c r="B8" s="671">
        <v>2.4819444444444443</v>
      </c>
      <c r="C8" s="671">
        <v>43.821944444444448</v>
      </c>
      <c r="D8" s="671">
        <v>6.8719444444444449</v>
      </c>
      <c r="E8" s="671">
        <v>26.176666666666666</v>
      </c>
      <c r="F8" s="671">
        <v>40.431666666666665</v>
      </c>
      <c r="G8" s="671">
        <v>34.708055555555553</v>
      </c>
      <c r="H8" s="671">
        <v>0</v>
      </c>
      <c r="I8" s="672">
        <v>154.49222222222221</v>
      </c>
      <c r="J8" s="258"/>
    </row>
    <row r="9" spans="1:10" ht="15.95" customHeight="1">
      <c r="A9" s="822">
        <v>1985</v>
      </c>
      <c r="B9" s="823">
        <v>2.6352777777777776</v>
      </c>
      <c r="C9" s="823">
        <v>44.197222222222223</v>
      </c>
      <c r="D9" s="823">
        <v>6.5925000000000002</v>
      </c>
      <c r="E9" s="823">
        <v>26.858888888888888</v>
      </c>
      <c r="F9" s="823">
        <v>39.413611111111109</v>
      </c>
      <c r="G9" s="823">
        <v>33.713055555555556</v>
      </c>
      <c r="H9" s="823">
        <v>0</v>
      </c>
      <c r="I9" s="824">
        <v>153.41055555555556</v>
      </c>
      <c r="J9" s="258"/>
    </row>
    <row r="10" spans="1:10" ht="15.95" customHeight="1">
      <c r="A10" s="213">
        <v>1986</v>
      </c>
      <c r="B10" s="671">
        <v>2.5969444444444445</v>
      </c>
      <c r="C10" s="671">
        <v>46.377499999999998</v>
      </c>
      <c r="D10" s="671">
        <v>7.82</v>
      </c>
      <c r="E10" s="671">
        <v>27.373055555555556</v>
      </c>
      <c r="F10" s="671">
        <v>36.734444444444442</v>
      </c>
      <c r="G10" s="671">
        <v>28.640555555555554</v>
      </c>
      <c r="H10" s="671">
        <v>9.7222222222222224E-3</v>
      </c>
      <c r="I10" s="672">
        <v>149.55222222222221</v>
      </c>
      <c r="J10" s="258"/>
    </row>
    <row r="11" spans="1:10" ht="15.95" customHeight="1">
      <c r="A11" s="822">
        <v>1987</v>
      </c>
      <c r="B11" s="823">
        <v>2.5841666666666665</v>
      </c>
      <c r="C11" s="823">
        <v>48.261666666666663</v>
      </c>
      <c r="D11" s="823">
        <v>8.25</v>
      </c>
      <c r="E11" s="823">
        <v>27.323611111111113</v>
      </c>
      <c r="F11" s="823">
        <v>40.985277777777775</v>
      </c>
      <c r="G11" s="823">
        <v>26.293333333333333</v>
      </c>
      <c r="H11" s="823">
        <v>4.8333333333333332E-2</v>
      </c>
      <c r="I11" s="824">
        <v>153.7463888888889</v>
      </c>
      <c r="J11" s="258"/>
    </row>
    <row r="12" spans="1:10" ht="15.95" customHeight="1">
      <c r="A12" s="213">
        <v>1988</v>
      </c>
      <c r="B12" s="671">
        <v>3.0577777777777779</v>
      </c>
      <c r="C12" s="671">
        <v>50.058611111111112</v>
      </c>
      <c r="D12" s="671">
        <v>9.1858333333333331</v>
      </c>
      <c r="E12" s="671">
        <v>28.371388888888887</v>
      </c>
      <c r="F12" s="671">
        <v>37.278055555555554</v>
      </c>
      <c r="G12" s="671">
        <v>23.491944444444446</v>
      </c>
      <c r="H12" s="671">
        <v>4.8333333333333332E-2</v>
      </c>
      <c r="I12" s="672">
        <v>151.49194444444447</v>
      </c>
      <c r="J12" s="258"/>
    </row>
    <row r="13" spans="1:10" ht="15.95" customHeight="1">
      <c r="A13" s="822">
        <v>1989</v>
      </c>
      <c r="B13" s="823">
        <v>3.6844444444444444</v>
      </c>
      <c r="C13" s="823">
        <v>51.88111111111111</v>
      </c>
      <c r="D13" s="823">
        <v>10.091388888888888</v>
      </c>
      <c r="E13" s="823">
        <v>27.550833333333333</v>
      </c>
      <c r="F13" s="823">
        <v>34.371944444444445</v>
      </c>
      <c r="G13" s="823">
        <v>19.966111111111111</v>
      </c>
      <c r="H13" s="823">
        <v>5.8055555555555555E-2</v>
      </c>
      <c r="I13" s="824">
        <v>147.60388888888889</v>
      </c>
      <c r="J13" s="258"/>
    </row>
    <row r="14" spans="1:10" ht="15.95" customHeight="1">
      <c r="A14" s="213">
        <v>1990</v>
      </c>
      <c r="B14" s="671">
        <v>4.3880555555555558</v>
      </c>
      <c r="C14" s="671">
        <v>49.107777777777777</v>
      </c>
      <c r="D14" s="671">
        <v>3.6235144075588628</v>
      </c>
      <c r="E14" s="671">
        <v>27.63</v>
      </c>
      <c r="F14" s="671">
        <v>34.569722222222225</v>
      </c>
      <c r="G14" s="671">
        <v>16.678055555555556</v>
      </c>
      <c r="H14" s="671">
        <v>4.8611111111111112E-2</v>
      </c>
      <c r="I14" s="672">
        <v>136.04573662978109</v>
      </c>
      <c r="J14" s="258"/>
    </row>
    <row r="15" spans="1:10" ht="15.95" customHeight="1">
      <c r="A15" s="822">
        <v>1991</v>
      </c>
      <c r="B15" s="823">
        <v>5.0788888888888888</v>
      </c>
      <c r="C15" s="823">
        <v>50.163055555555559</v>
      </c>
      <c r="D15" s="823">
        <v>3.3545436864310179</v>
      </c>
      <c r="E15" s="823">
        <v>26.147222222222222</v>
      </c>
      <c r="F15" s="823">
        <v>32.958333333333336</v>
      </c>
      <c r="G15" s="823">
        <v>14.049722222222222</v>
      </c>
      <c r="H15" s="823">
        <v>3.861111111111111E-2</v>
      </c>
      <c r="I15" s="824">
        <v>131.79037701976435</v>
      </c>
      <c r="J15" s="258"/>
    </row>
    <row r="16" spans="1:10" ht="15.95" customHeight="1">
      <c r="A16" s="213">
        <v>1992</v>
      </c>
      <c r="B16" s="671">
        <v>5.0405555555555557</v>
      </c>
      <c r="C16" s="671">
        <v>51.270833333333336</v>
      </c>
      <c r="D16" s="671">
        <v>4.0459736475421284</v>
      </c>
      <c r="E16" s="671">
        <v>25.741944444444446</v>
      </c>
      <c r="F16" s="671">
        <v>31.327222222222222</v>
      </c>
      <c r="G16" s="671">
        <v>11.508055555555556</v>
      </c>
      <c r="H16" s="671">
        <v>0.6283333333333333</v>
      </c>
      <c r="I16" s="672">
        <v>129.56291809198657</v>
      </c>
      <c r="J16" s="258"/>
    </row>
    <row r="17" spans="1:10" ht="15.95" customHeight="1">
      <c r="A17" s="822">
        <v>1993</v>
      </c>
      <c r="B17" s="823">
        <v>4.9380555555555556</v>
      </c>
      <c r="C17" s="823">
        <v>48.732500000000002</v>
      </c>
      <c r="D17" s="823">
        <v>3.2015220387150203</v>
      </c>
      <c r="E17" s="823">
        <v>26.46361111111111</v>
      </c>
      <c r="F17" s="823">
        <v>31.238055555555555</v>
      </c>
      <c r="G17" s="823">
        <v>12.665277777777778</v>
      </c>
      <c r="H17" s="823">
        <v>0.69611111111111112</v>
      </c>
      <c r="I17" s="824">
        <v>127.93513314982613</v>
      </c>
      <c r="J17" s="258"/>
    </row>
    <row r="18" spans="1:10" ht="15.95" customHeight="1">
      <c r="A18" s="213">
        <v>1994</v>
      </c>
      <c r="B18" s="671">
        <v>5.2961111111111112</v>
      </c>
      <c r="C18" s="671">
        <v>49.325555555555553</v>
      </c>
      <c r="D18" s="671">
        <v>3.153222437903386</v>
      </c>
      <c r="E18" s="671">
        <v>27.382777777777779</v>
      </c>
      <c r="F18" s="671">
        <v>31.564444444444444</v>
      </c>
      <c r="G18" s="671">
        <v>14.753055555555555</v>
      </c>
      <c r="H18" s="671">
        <v>0.51222222222222225</v>
      </c>
      <c r="I18" s="672">
        <v>131.98738910457004</v>
      </c>
      <c r="J18" s="258"/>
    </row>
    <row r="19" spans="1:10" ht="15.95" customHeight="1">
      <c r="A19" s="822">
        <v>1995</v>
      </c>
      <c r="B19" s="823">
        <v>5.5136111111111115</v>
      </c>
      <c r="C19" s="823">
        <v>50.267777777777781</v>
      </c>
      <c r="D19" s="823">
        <v>3.0768815532408009</v>
      </c>
      <c r="E19" s="823">
        <v>27.728888888888889</v>
      </c>
      <c r="F19" s="823">
        <v>31.16888888888889</v>
      </c>
      <c r="G19" s="823">
        <v>14.633888888888889</v>
      </c>
      <c r="H19" s="823">
        <v>0.54138888888888892</v>
      </c>
      <c r="I19" s="824">
        <v>132.93132599768524</v>
      </c>
      <c r="J19" s="258"/>
    </row>
    <row r="20" spans="1:10" ht="15.95" customHeight="1">
      <c r="A20" s="213">
        <v>1996</v>
      </c>
      <c r="B20" s="671">
        <v>5.4238888888888885</v>
      </c>
      <c r="C20" s="671">
        <v>49.665555555555557</v>
      </c>
      <c r="D20" s="671">
        <v>2.955620467722655</v>
      </c>
      <c r="E20" s="671">
        <v>28.193333333333332</v>
      </c>
      <c r="F20" s="671">
        <v>31.860555555555557</v>
      </c>
      <c r="G20" s="671">
        <v>15.661111111111111</v>
      </c>
      <c r="H20" s="671">
        <v>0.57999999999999996</v>
      </c>
      <c r="I20" s="672">
        <v>134.34006491216709</v>
      </c>
      <c r="J20" s="258"/>
    </row>
    <row r="21" spans="1:10" ht="15.95" customHeight="1">
      <c r="A21" s="822">
        <v>1997</v>
      </c>
      <c r="B21" s="823">
        <v>5.858888888888889</v>
      </c>
      <c r="C21" s="823">
        <v>48.645277777777778</v>
      </c>
      <c r="D21" s="823">
        <v>3.0750677071154939</v>
      </c>
      <c r="E21" s="823">
        <v>28.381388888888889</v>
      </c>
      <c r="F21" s="823">
        <v>29.300277777777779</v>
      </c>
      <c r="G21" s="823">
        <v>16.461666666666666</v>
      </c>
      <c r="H21" s="823">
        <v>0.61861111111111111</v>
      </c>
      <c r="I21" s="824">
        <v>132.34117881822661</v>
      </c>
      <c r="J21" s="258"/>
    </row>
    <row r="22" spans="1:10" ht="15.95" customHeight="1">
      <c r="A22" s="213">
        <v>1998</v>
      </c>
      <c r="B22" s="671">
        <v>6.4858333333333329</v>
      </c>
      <c r="C22" s="671">
        <v>47.354166666666664</v>
      </c>
      <c r="D22" s="671">
        <v>2.8114901285378449</v>
      </c>
      <c r="E22" s="671">
        <v>32.148055555555558</v>
      </c>
      <c r="F22" s="671">
        <v>27.659444444444443</v>
      </c>
      <c r="G22" s="671">
        <v>15.607222222222223</v>
      </c>
      <c r="H22" s="671">
        <v>0.54138888888888892</v>
      </c>
      <c r="I22" s="672">
        <v>132.60760123964897</v>
      </c>
      <c r="J22" s="258"/>
    </row>
    <row r="23" spans="1:10" ht="15.95" customHeight="1">
      <c r="A23" s="822">
        <v>1999</v>
      </c>
      <c r="B23" s="823">
        <v>6.6094444444444447</v>
      </c>
      <c r="C23" s="823">
        <v>47.55972222222222</v>
      </c>
      <c r="D23" s="823">
        <v>2.7023830654816314</v>
      </c>
      <c r="E23" s="823">
        <v>32.417222222222222</v>
      </c>
      <c r="F23" s="823">
        <v>26.740277777777777</v>
      </c>
      <c r="G23" s="823">
        <v>15.055555555555555</v>
      </c>
      <c r="H23" s="823">
        <v>0.435</v>
      </c>
      <c r="I23" s="824">
        <v>131.51960528770385</v>
      </c>
      <c r="J23" s="258"/>
    </row>
    <row r="24" spans="1:10" ht="15.95" customHeight="1">
      <c r="A24" s="213">
        <v>2000</v>
      </c>
      <c r="B24" s="671">
        <v>5.8702777777777779</v>
      </c>
      <c r="C24" s="671">
        <v>46.856944444444444</v>
      </c>
      <c r="D24" s="671">
        <v>2.7756024916815165</v>
      </c>
      <c r="E24" s="671">
        <v>31.768888888888888</v>
      </c>
      <c r="F24" s="671">
        <v>26.087777777777777</v>
      </c>
      <c r="G24" s="671">
        <v>13.164999999999999</v>
      </c>
      <c r="H24" s="671">
        <v>0.91111111111111109</v>
      </c>
      <c r="I24" s="672">
        <v>127.43560249168151</v>
      </c>
      <c r="J24" s="258"/>
    </row>
    <row r="25" spans="1:10" ht="15.95" customHeight="1">
      <c r="A25" s="822">
        <v>2001</v>
      </c>
      <c r="B25" s="823">
        <v>5.7922222222222226</v>
      </c>
      <c r="C25" s="823">
        <v>48.785295244444448</v>
      </c>
      <c r="D25" s="823">
        <v>2.6127219279008003</v>
      </c>
      <c r="E25" s="823">
        <v>33.186245694444445</v>
      </c>
      <c r="F25" s="823">
        <v>23.734722222222221</v>
      </c>
      <c r="G25" s="823">
        <v>11.720555555555556</v>
      </c>
      <c r="H25" s="823">
        <v>0.67027777777777775</v>
      </c>
      <c r="I25" s="824">
        <v>126.50204064456747</v>
      </c>
      <c r="J25" s="258"/>
    </row>
    <row r="26" spans="1:10" ht="15.95" customHeight="1">
      <c r="A26" s="213">
        <v>2002</v>
      </c>
      <c r="B26" s="671">
        <v>4.8172222222222221</v>
      </c>
      <c r="C26" s="671">
        <v>49.245537555555558</v>
      </c>
      <c r="D26" s="671">
        <v>2.557800706891403</v>
      </c>
      <c r="E26" s="671">
        <v>37.037668749999995</v>
      </c>
      <c r="F26" s="671">
        <v>21.045000000000002</v>
      </c>
      <c r="G26" s="671">
        <v>11.908611111111112</v>
      </c>
      <c r="H26" s="671">
        <v>0.87611111111111106</v>
      </c>
      <c r="I26" s="672">
        <v>127.48795145689141</v>
      </c>
      <c r="J26" s="258"/>
    </row>
    <row r="27" spans="1:10" ht="15.95" customHeight="1">
      <c r="A27" s="822">
        <v>2003</v>
      </c>
      <c r="B27" s="823">
        <v>5.6463888888888887</v>
      </c>
      <c r="C27" s="823">
        <v>49.042855401066667</v>
      </c>
      <c r="D27" s="823">
        <v>2.4817926443747051</v>
      </c>
      <c r="E27" s="823">
        <v>38.40149380555556</v>
      </c>
      <c r="F27" s="823">
        <v>19.421666666666667</v>
      </c>
      <c r="G27" s="823">
        <v>13.320277777777777</v>
      </c>
      <c r="H27" s="823">
        <v>0.82666666666666666</v>
      </c>
      <c r="I27" s="824">
        <v>129.14114185099692</v>
      </c>
      <c r="J27" s="258"/>
    </row>
    <row r="28" spans="1:10" ht="15.95" customHeight="1">
      <c r="A28" s="213">
        <v>2004</v>
      </c>
      <c r="B28" s="671">
        <v>5.4516666666666671</v>
      </c>
      <c r="C28" s="671">
        <v>47.548168711111117</v>
      </c>
      <c r="D28" s="671">
        <v>2.8127724385302009</v>
      </c>
      <c r="E28" s="671">
        <v>40.579347944444443</v>
      </c>
      <c r="F28" s="671">
        <v>17.789722222222224</v>
      </c>
      <c r="G28" s="671">
        <v>12.091111111111111</v>
      </c>
      <c r="H28" s="671">
        <v>0.70305555555555554</v>
      </c>
      <c r="I28" s="672">
        <v>126.97584464964132</v>
      </c>
      <c r="J28" s="258"/>
    </row>
    <row r="29" spans="1:10" ht="15.95" customHeight="1">
      <c r="A29" s="822">
        <v>2005</v>
      </c>
      <c r="B29" s="823">
        <v>5.166666666666667</v>
      </c>
      <c r="C29" s="823">
        <v>47.699166666666663</v>
      </c>
      <c r="D29" s="823">
        <v>2.7250000000000001</v>
      </c>
      <c r="E29" s="823">
        <v>42.443055555555553</v>
      </c>
      <c r="F29" s="823">
        <v>13.311388888888889</v>
      </c>
      <c r="G29" s="823">
        <v>10.571666666666667</v>
      </c>
      <c r="H29" s="823">
        <v>0.57055555555555559</v>
      </c>
      <c r="I29" s="824">
        <v>122.4875</v>
      </c>
      <c r="J29" s="258"/>
    </row>
    <row r="30" spans="1:10" ht="15.95" customHeight="1">
      <c r="A30" s="213">
        <v>2006</v>
      </c>
      <c r="B30" s="671">
        <v>5.4725000000000001</v>
      </c>
      <c r="C30" s="671">
        <v>46.820555555555558</v>
      </c>
      <c r="D30" s="671">
        <v>2.5249999999999999</v>
      </c>
      <c r="E30" s="671">
        <v>43.49666666666667</v>
      </c>
      <c r="F30" s="671">
        <v>10.52138888888889</v>
      </c>
      <c r="G30" s="671">
        <v>10.136111111111111</v>
      </c>
      <c r="H30" s="671">
        <v>0.97972222222222227</v>
      </c>
      <c r="I30" s="672">
        <v>119.95194444444445</v>
      </c>
      <c r="J30" s="258"/>
    </row>
    <row r="31" spans="1:10" ht="15.95" customHeight="1">
      <c r="A31" s="822">
        <v>2007</v>
      </c>
      <c r="B31" s="823">
        <v>5.6449999999999996</v>
      </c>
      <c r="C31" s="823">
        <v>46.293888888888887</v>
      </c>
      <c r="D31" s="823">
        <v>2.4680555555555554</v>
      </c>
      <c r="E31" s="823">
        <v>45.346111111111114</v>
      </c>
      <c r="F31" s="823">
        <v>9.1497222222222216</v>
      </c>
      <c r="G31" s="823">
        <v>8.9172222222222217</v>
      </c>
      <c r="H31" s="823">
        <v>0.92472222222222222</v>
      </c>
      <c r="I31" s="824">
        <v>118.74472222222224</v>
      </c>
      <c r="J31" s="258"/>
    </row>
    <row r="32" spans="1:10" ht="15.95" customHeight="1">
      <c r="A32" s="213">
        <v>2008</v>
      </c>
      <c r="B32" s="671">
        <v>5.528888888888889</v>
      </c>
      <c r="C32" s="671">
        <v>43.12083333333333</v>
      </c>
      <c r="D32" s="671">
        <v>2.3111111111111109</v>
      </c>
      <c r="E32" s="671">
        <v>45.806111111111115</v>
      </c>
      <c r="F32" s="671">
        <v>7.3763888888888891</v>
      </c>
      <c r="G32" s="671">
        <v>8.6194444444444436</v>
      </c>
      <c r="H32" s="671">
        <v>0.98472222222222228</v>
      </c>
      <c r="I32" s="672">
        <v>113.74749999999999</v>
      </c>
      <c r="J32" s="258"/>
    </row>
    <row r="33" spans="1:10" ht="15.95" customHeight="1">
      <c r="A33" s="822">
        <v>2009</v>
      </c>
      <c r="B33" s="823">
        <v>4.3</v>
      </c>
      <c r="C33" s="823">
        <v>42.285833333333336</v>
      </c>
      <c r="D33" s="823">
        <v>2.0247222222222221</v>
      </c>
      <c r="E33" s="823">
        <v>44.74722222222222</v>
      </c>
      <c r="F33" s="823">
        <v>6.3922222222222222</v>
      </c>
      <c r="G33" s="823">
        <v>7.7397222222222224</v>
      </c>
      <c r="H33" s="823">
        <v>0.81888888888888889</v>
      </c>
      <c r="I33" s="824">
        <v>108.30861111111112</v>
      </c>
      <c r="J33" s="258"/>
    </row>
    <row r="34" spans="1:10" ht="15.95" customHeight="1">
      <c r="A34" s="213">
        <v>2010</v>
      </c>
      <c r="B34" s="671">
        <v>5.2344444444444447</v>
      </c>
      <c r="C34" s="671">
        <v>39.774444444444441</v>
      </c>
      <c r="D34" s="671">
        <v>1.9030555555555555</v>
      </c>
      <c r="E34" s="671">
        <v>48.575000000000003</v>
      </c>
      <c r="F34" s="671">
        <v>6.3133333333333335</v>
      </c>
      <c r="G34" s="671">
        <v>8.8502777777777784</v>
      </c>
      <c r="H34" s="671">
        <v>0.82861111111111108</v>
      </c>
      <c r="I34" s="672">
        <v>111.47916666666667</v>
      </c>
      <c r="J34" s="258"/>
    </row>
    <row r="35" spans="1:10" ht="15.95" customHeight="1">
      <c r="A35" s="822">
        <v>2011</v>
      </c>
      <c r="B35" s="823">
        <v>5.1752777777777776</v>
      </c>
      <c r="C35" s="823">
        <v>36.943333333333335</v>
      </c>
      <c r="D35" s="823">
        <v>2.0911111111111111</v>
      </c>
      <c r="E35" s="823">
        <v>49.519444444444446</v>
      </c>
      <c r="F35" s="823">
        <v>5.2705555555555552</v>
      </c>
      <c r="G35" s="823">
        <v>6.703611111111111</v>
      </c>
      <c r="H35" s="823">
        <v>0.64555555555555555</v>
      </c>
      <c r="I35" s="824">
        <v>106.34888888888891</v>
      </c>
      <c r="J35" s="258"/>
    </row>
    <row r="36" spans="1:10" ht="15.95" customHeight="1">
      <c r="A36" s="213">
        <v>2012</v>
      </c>
      <c r="B36" s="671">
        <v>4.1688888888888886</v>
      </c>
      <c r="C36" s="671">
        <v>33.930277777777775</v>
      </c>
      <c r="D36" s="671">
        <v>2.0544444444444445</v>
      </c>
      <c r="E36" s="671">
        <v>48.111944444444447</v>
      </c>
      <c r="F36" s="671">
        <v>5.1311111111111112</v>
      </c>
      <c r="G36" s="671">
        <v>6.0636111111111113</v>
      </c>
      <c r="H36" s="671">
        <v>0.70583333333333331</v>
      </c>
      <c r="I36" s="672">
        <v>100.16611111111111</v>
      </c>
      <c r="J36" s="258"/>
    </row>
    <row r="37" spans="1:10" ht="15.95" customHeight="1">
      <c r="A37" s="822">
        <v>2013</v>
      </c>
      <c r="B37" s="823">
        <v>4.1094444444444447</v>
      </c>
      <c r="C37" s="823">
        <v>32.183055555555555</v>
      </c>
      <c r="D37" s="823">
        <v>2.0686111111111112</v>
      </c>
      <c r="E37" s="823">
        <v>47.672499999999999</v>
      </c>
      <c r="F37" s="823">
        <v>4.6397222222222219</v>
      </c>
      <c r="G37" s="823">
        <v>4.9530555555555553</v>
      </c>
      <c r="H37" s="823">
        <v>0.40555555555555556</v>
      </c>
      <c r="I37" s="824">
        <v>96.03194444444442</v>
      </c>
      <c r="J37" s="258"/>
    </row>
    <row r="38" spans="1:10" ht="15.95" customHeight="1">
      <c r="A38" s="213">
        <v>2014</v>
      </c>
      <c r="B38" s="671">
        <v>4.2455555555555557</v>
      </c>
      <c r="C38" s="671">
        <v>30.950555555555557</v>
      </c>
      <c r="D38" s="671">
        <v>2.0569444444444445</v>
      </c>
      <c r="E38" s="671">
        <v>46.773333333333333</v>
      </c>
      <c r="F38" s="671">
        <v>4.1224999999999996</v>
      </c>
      <c r="G38" s="671">
        <v>3.8419444444444446</v>
      </c>
      <c r="H38" s="671">
        <v>0.41472222222222221</v>
      </c>
      <c r="I38" s="672">
        <v>92.40555555555558</v>
      </c>
      <c r="J38" s="258"/>
    </row>
    <row r="39" spans="1:10" ht="15.95" customHeight="1">
      <c r="A39" s="822">
        <v>2015</v>
      </c>
      <c r="B39" s="823">
        <v>4.1488888888888891</v>
      </c>
      <c r="C39" s="823">
        <v>30.22388888888889</v>
      </c>
      <c r="D39" s="823">
        <v>2.0322222222222224</v>
      </c>
      <c r="E39" s="823">
        <v>47.604999999999997</v>
      </c>
      <c r="F39" s="823">
        <v>4.1894444444444447</v>
      </c>
      <c r="G39" s="823">
        <v>2.9030555555555555</v>
      </c>
      <c r="H39" s="823">
        <v>0.36166666666666669</v>
      </c>
      <c r="I39" s="824">
        <v>91.464166666666657</v>
      </c>
      <c r="J39" s="258"/>
    </row>
    <row r="40" spans="1:10" ht="15.95" customHeight="1">
      <c r="A40" s="213"/>
      <c r="B40" s="214"/>
      <c r="C40" s="214"/>
      <c r="D40" s="214"/>
      <c r="E40" s="214"/>
      <c r="F40" s="214"/>
      <c r="G40" s="214"/>
      <c r="H40" s="214"/>
      <c r="I40" s="215"/>
    </row>
    <row r="41" spans="1:10" ht="15.95" customHeight="1">
      <c r="A41"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tabColor theme="6" tint="0.39997558519241921"/>
  </sheetPr>
  <dimension ref="A1:Z54"/>
  <sheetViews>
    <sheetView zoomScaleNormal="100" zoomScalePageLayoutView="70" workbookViewId="0">
      <pane ySplit="6" topLeftCell="A7" activePane="bottomLeft" state="frozen"/>
      <selection pane="bottomLeft" activeCell="C1" sqref="C1"/>
    </sheetView>
  </sheetViews>
  <sheetFormatPr defaultColWidth="3.73046875" defaultRowHeight="13.15"/>
  <cols>
    <col min="1" max="1" width="8.86328125" style="653" customWidth="1"/>
    <col min="2" max="2" width="14.73046875" style="654" customWidth="1"/>
    <col min="3" max="5" width="13.3984375" style="654" customWidth="1"/>
    <col min="6" max="6" width="13.3984375" style="655" customWidth="1"/>
    <col min="7" max="16384" width="3.73046875" style="654"/>
  </cols>
  <sheetData>
    <row r="1" spans="1:26" ht="15.95" customHeight="1">
      <c r="A1" s="524" t="str">
        <f>IF(språk=lista[[#Headers],[Svenska]],"Innehåll",IF(språk=lista[[#Headers],[English]],"Contents","FEL"))</f>
        <v>Contents</v>
      </c>
    </row>
    <row r="2" spans="1:26" ht="15.95" customHeight="1"/>
    <row r="3" spans="1:26" ht="15.95" customHeight="1">
      <c r="A3" s="643" t="str">
        <f>IFERROR(INDEX(lista[],MATCH($A5,lista[ID],0),MATCH(språk,lista[#Headers],0)),"")</f>
        <v>Swedish import of crude oil, by country of origin, from 1972, million tonnes</v>
      </c>
      <c r="B3" s="643"/>
      <c r="C3" s="643"/>
      <c r="D3" s="643"/>
      <c r="E3" s="643"/>
      <c r="F3" s="643"/>
    </row>
    <row r="4" spans="1:26" ht="15.95" customHeight="1"/>
    <row r="5" spans="1:26" s="645" customFormat="1" ht="15.95" hidden="1" customHeight="1">
      <c r="A5" s="644">
        <v>68</v>
      </c>
      <c r="B5" s="645" t="s">
        <v>647</v>
      </c>
      <c r="C5" s="645" t="s">
        <v>648</v>
      </c>
      <c r="D5" s="645" t="s">
        <v>649</v>
      </c>
      <c r="E5" s="645" t="s">
        <v>650</v>
      </c>
      <c r="F5" s="651"/>
    </row>
    <row r="6" spans="1:26" s="645" customFormat="1" ht="27.95" customHeight="1">
      <c r="A6" s="204"/>
      <c r="B6" s="205" t="str">
        <f>IFERROR(INDEX(_9.3[],MATCH(språk,_9.3[[id]:[id]],0),MATCH(B$5,_9.3[#Headers],0)),"")</f>
        <v>Denmark, Norway, United Kingdom</v>
      </c>
      <c r="C6" s="205" t="str">
        <f>IFERROR(INDEX(_9.3[],MATCH(språk,_9.3[[id]:[id]],0),MATCH(C$5,_9.3[#Headers],0)),"")</f>
        <v>Russia</v>
      </c>
      <c r="D6" s="205" t="str">
        <f>IFERROR(INDEX(_9.3[],MATCH(språk,_9.3[[id]:[id]],0),MATCH(D$5,_9.3[#Headers],0)),"")</f>
        <v>OPEC</v>
      </c>
      <c r="E6" s="205" t="str">
        <f>IFERROR(INDEX(_9.3[],MATCH(språk,_9.3[[id]:[id]],0),MATCH(E$5,_9.3[#Headers],0)),"")</f>
        <v>Other countries</v>
      </c>
      <c r="F6" s="235" t="str">
        <f>IF(språk=lista[[#Headers],[Svenska]],"Totalt",IF(språk=lista[[#Headers],[English]],"Total","FEL"))</f>
        <v>Total</v>
      </c>
    </row>
    <row r="7" spans="1:26" s="645" customFormat="1" ht="15.95" customHeight="1">
      <c r="A7" s="825">
        <v>1972</v>
      </c>
      <c r="B7" s="826">
        <v>0</v>
      </c>
      <c r="C7" s="826" t="s">
        <v>6</v>
      </c>
      <c r="D7" s="826">
        <v>4.9059999999999997</v>
      </c>
      <c r="E7" s="826">
        <v>5.7610000000000001</v>
      </c>
      <c r="F7" s="827">
        <v>10.667000000000002</v>
      </c>
    </row>
    <row r="8" spans="1:26" ht="15.95" customHeight="1">
      <c r="A8" s="646">
        <v>1973</v>
      </c>
      <c r="B8" s="647">
        <v>0</v>
      </c>
      <c r="C8" s="647" t="s">
        <v>6</v>
      </c>
      <c r="D8" s="647">
        <v>4.7210000000000001</v>
      </c>
      <c r="E8" s="647">
        <v>5.3209999999999997</v>
      </c>
      <c r="F8" s="648">
        <v>10.042</v>
      </c>
      <c r="H8" s="645"/>
      <c r="I8" s="645"/>
      <c r="J8" s="645"/>
      <c r="K8" s="645"/>
      <c r="L8" s="645"/>
      <c r="M8" s="645"/>
      <c r="N8" s="645"/>
      <c r="O8" s="645"/>
      <c r="P8" s="645"/>
      <c r="Q8" s="645"/>
      <c r="R8" s="645"/>
      <c r="S8" s="645"/>
      <c r="T8" s="645"/>
      <c r="U8" s="645"/>
      <c r="V8" s="645"/>
      <c r="W8" s="645"/>
      <c r="X8" s="645"/>
      <c r="Y8" s="645"/>
      <c r="Z8" s="645"/>
    </row>
    <row r="9" spans="1:26" ht="15.95" customHeight="1">
      <c r="A9" s="825">
        <v>1974</v>
      </c>
      <c r="B9" s="826">
        <v>0.38900000000000001</v>
      </c>
      <c r="C9" s="826" t="s">
        <v>6</v>
      </c>
      <c r="D9" s="826">
        <v>4.181</v>
      </c>
      <c r="E9" s="826">
        <v>5.1529999999999996</v>
      </c>
      <c r="F9" s="827">
        <v>9.722999999999999</v>
      </c>
    </row>
    <row r="10" spans="1:26" ht="15.95" customHeight="1">
      <c r="A10" s="646">
        <v>1975</v>
      </c>
      <c r="B10" s="647">
        <v>0.71199999999999997</v>
      </c>
      <c r="C10" s="647" t="s">
        <v>6</v>
      </c>
      <c r="D10" s="647">
        <v>5.3410000000000002</v>
      </c>
      <c r="E10" s="647">
        <v>5.8150000000000004</v>
      </c>
      <c r="F10" s="648">
        <v>11.868</v>
      </c>
    </row>
    <row r="11" spans="1:26" ht="15.95" customHeight="1">
      <c r="A11" s="825">
        <v>1976</v>
      </c>
      <c r="B11" s="826">
        <v>1.345</v>
      </c>
      <c r="C11" s="826" t="s">
        <v>6</v>
      </c>
      <c r="D11" s="826">
        <v>6.0519999999999996</v>
      </c>
      <c r="E11" s="826">
        <v>6.0519999999999996</v>
      </c>
      <c r="F11" s="827">
        <v>13.449</v>
      </c>
    </row>
    <row r="12" spans="1:26" ht="15.95" customHeight="1">
      <c r="A12" s="646">
        <v>1977</v>
      </c>
      <c r="B12" s="647">
        <v>1.9870000000000001</v>
      </c>
      <c r="C12" s="647" t="s">
        <v>6</v>
      </c>
      <c r="D12" s="647">
        <v>6.7519999999999998</v>
      </c>
      <c r="E12" s="647">
        <v>5.5570000000000004</v>
      </c>
      <c r="F12" s="648">
        <v>14.296000000000001</v>
      </c>
    </row>
    <row r="13" spans="1:26" ht="15.95" customHeight="1">
      <c r="A13" s="825">
        <v>1978</v>
      </c>
      <c r="B13" s="826">
        <v>2.9220000000000002</v>
      </c>
      <c r="C13" s="826" t="s">
        <v>6</v>
      </c>
      <c r="D13" s="826">
        <v>5.4060000000000006</v>
      </c>
      <c r="E13" s="826">
        <v>7.3130000000000006</v>
      </c>
      <c r="F13" s="827">
        <v>15.641</v>
      </c>
    </row>
    <row r="14" spans="1:26" ht="15.95" customHeight="1">
      <c r="A14" s="646">
        <v>1979</v>
      </c>
      <c r="B14" s="647">
        <v>4.2080000000000002</v>
      </c>
      <c r="C14" s="647" t="s">
        <v>6</v>
      </c>
      <c r="D14" s="647">
        <v>7.58</v>
      </c>
      <c r="E14" s="647">
        <v>4.4329999999999998</v>
      </c>
      <c r="F14" s="648">
        <v>16.221</v>
      </c>
    </row>
    <row r="15" spans="1:26" ht="15.95" customHeight="1">
      <c r="A15" s="825">
        <v>1980</v>
      </c>
      <c r="B15" s="826">
        <v>3.5310000000000001</v>
      </c>
      <c r="C15" s="826" t="s">
        <v>6</v>
      </c>
      <c r="D15" s="826">
        <v>11.045999999999999</v>
      </c>
      <c r="E15" s="826">
        <v>3.3220000000000001</v>
      </c>
      <c r="F15" s="827">
        <v>17.899000000000001</v>
      </c>
    </row>
    <row r="16" spans="1:26" ht="15.95" customHeight="1">
      <c r="A16" s="646">
        <v>1981</v>
      </c>
      <c r="B16" s="647">
        <v>4.26</v>
      </c>
      <c r="C16" s="647" t="s">
        <v>6</v>
      </c>
      <c r="D16" s="647">
        <v>9.0039999999999996</v>
      </c>
      <c r="E16" s="647">
        <v>1.4790000000000001</v>
      </c>
      <c r="F16" s="648">
        <v>14.742999999999999</v>
      </c>
    </row>
    <row r="17" spans="1:6" ht="15.95" customHeight="1">
      <c r="A17" s="825">
        <v>1982</v>
      </c>
      <c r="B17" s="826">
        <v>6.226</v>
      </c>
      <c r="C17" s="826" t="s">
        <v>6</v>
      </c>
      <c r="D17" s="826">
        <v>4.9670000000000005</v>
      </c>
      <c r="E17" s="826">
        <v>2.266</v>
      </c>
      <c r="F17" s="827">
        <v>13.459000000000001</v>
      </c>
    </row>
    <row r="18" spans="1:6" ht="15.95" customHeight="1">
      <c r="A18" s="646">
        <v>1983</v>
      </c>
      <c r="B18" s="647">
        <v>9.1370000000000005</v>
      </c>
      <c r="C18" s="647" t="s">
        <v>6</v>
      </c>
      <c r="D18" s="647">
        <v>2.6439999999999997</v>
      </c>
      <c r="E18" s="647">
        <v>2.2069999999999999</v>
      </c>
      <c r="F18" s="648">
        <v>13.988</v>
      </c>
    </row>
    <row r="19" spans="1:6" ht="15.95" customHeight="1">
      <c r="A19" s="825">
        <v>1984</v>
      </c>
      <c r="B19" s="826">
        <v>10.134</v>
      </c>
      <c r="C19" s="826" t="s">
        <v>6</v>
      </c>
      <c r="D19" s="826">
        <v>1.4330000000000001</v>
      </c>
      <c r="E19" s="826">
        <v>1.369</v>
      </c>
      <c r="F19" s="827">
        <v>12.936</v>
      </c>
    </row>
    <row r="20" spans="1:6" ht="15.95" customHeight="1">
      <c r="A20" s="646">
        <v>1985</v>
      </c>
      <c r="B20" s="647">
        <v>9.8529999999999998</v>
      </c>
      <c r="C20" s="647" t="s">
        <v>6</v>
      </c>
      <c r="D20" s="647">
        <v>2.2909999999999999</v>
      </c>
      <c r="E20" s="647">
        <v>1.6970000000000001</v>
      </c>
      <c r="F20" s="648">
        <v>13.841000000000001</v>
      </c>
    </row>
    <row r="21" spans="1:6" ht="15.95" customHeight="1">
      <c r="A21" s="825">
        <v>1986</v>
      </c>
      <c r="B21" s="826">
        <v>10.507</v>
      </c>
      <c r="C21" s="826" t="s">
        <v>6</v>
      </c>
      <c r="D21" s="826">
        <v>2.8970000000000002</v>
      </c>
      <c r="E21" s="826">
        <v>2.4580000000000002</v>
      </c>
      <c r="F21" s="827">
        <v>15.861999999999998</v>
      </c>
    </row>
    <row r="22" spans="1:6" ht="15.95" customHeight="1">
      <c r="A22" s="646">
        <v>1987</v>
      </c>
      <c r="B22" s="647">
        <v>9.7739999999999991</v>
      </c>
      <c r="C22" s="647" t="s">
        <v>6</v>
      </c>
      <c r="D22" s="647">
        <v>2.1760000000000002</v>
      </c>
      <c r="E22" s="647">
        <v>3.3620000000000001</v>
      </c>
      <c r="F22" s="648">
        <v>15.311999999999999</v>
      </c>
    </row>
    <row r="23" spans="1:6" ht="15.95" customHeight="1">
      <c r="A23" s="825">
        <v>1988</v>
      </c>
      <c r="B23" s="826">
        <v>9.1229999999999993</v>
      </c>
      <c r="C23" s="826" t="s">
        <v>6</v>
      </c>
      <c r="D23" s="826">
        <v>1.635</v>
      </c>
      <c r="E23" s="826">
        <v>3.476</v>
      </c>
      <c r="F23" s="827">
        <v>14.233999999999998</v>
      </c>
    </row>
    <row r="24" spans="1:6" ht="15.95" customHeight="1">
      <c r="A24" s="646">
        <v>1989</v>
      </c>
      <c r="B24" s="647">
        <v>10.612</v>
      </c>
      <c r="C24" s="647" t="s">
        <v>6</v>
      </c>
      <c r="D24" s="647">
        <v>1.2010000000000001</v>
      </c>
      <c r="E24" s="647">
        <v>3.7030000000000003</v>
      </c>
      <c r="F24" s="648">
        <v>15.515999999999998</v>
      </c>
    </row>
    <row r="25" spans="1:6" ht="15.95" customHeight="1">
      <c r="A25" s="825">
        <v>1990</v>
      </c>
      <c r="B25" s="826">
        <v>10.81</v>
      </c>
      <c r="C25" s="826" t="s">
        <v>6</v>
      </c>
      <c r="D25" s="826">
        <v>1.6520000000000001</v>
      </c>
      <c r="E25" s="826">
        <v>4.3159999999999998</v>
      </c>
      <c r="F25" s="827">
        <v>16.777999999999999</v>
      </c>
    </row>
    <row r="26" spans="1:6" ht="15.95" customHeight="1">
      <c r="A26" s="646">
        <v>1991</v>
      </c>
      <c r="B26" s="647">
        <v>9.9789999999999992</v>
      </c>
      <c r="C26" s="647" t="s">
        <v>6</v>
      </c>
      <c r="D26" s="647">
        <v>1.87</v>
      </c>
      <c r="E26" s="647">
        <v>3.9770000000000003</v>
      </c>
      <c r="F26" s="648">
        <v>15.825999999999999</v>
      </c>
    </row>
    <row r="27" spans="1:6" ht="15.95" customHeight="1">
      <c r="A27" s="825">
        <v>1992</v>
      </c>
      <c r="B27" s="826">
        <v>10.44</v>
      </c>
      <c r="C27" s="826" t="s">
        <v>6</v>
      </c>
      <c r="D27" s="826">
        <v>4.38</v>
      </c>
      <c r="E27" s="826">
        <v>4.0119999999999996</v>
      </c>
      <c r="F27" s="827">
        <v>18.831999999999997</v>
      </c>
    </row>
    <row r="28" spans="1:6" ht="15.95" customHeight="1">
      <c r="A28" s="646">
        <v>1993</v>
      </c>
      <c r="B28" s="647">
        <v>10.474</v>
      </c>
      <c r="C28" s="647" t="s">
        <v>6</v>
      </c>
      <c r="D28" s="647">
        <v>4.125</v>
      </c>
      <c r="E28" s="647">
        <v>3.194</v>
      </c>
      <c r="F28" s="648">
        <v>17.792999999999999</v>
      </c>
    </row>
    <row r="29" spans="1:6" ht="15.95" customHeight="1">
      <c r="A29" s="825">
        <v>1994</v>
      </c>
      <c r="B29" s="826">
        <v>10.084</v>
      </c>
      <c r="C29" s="826" t="s">
        <v>6</v>
      </c>
      <c r="D29" s="826">
        <v>3.306</v>
      </c>
      <c r="E29" s="826">
        <v>4.0909999999999993</v>
      </c>
      <c r="F29" s="827">
        <v>17.480999999999998</v>
      </c>
    </row>
    <row r="30" spans="1:6" ht="15.95" customHeight="1">
      <c r="A30" s="646">
        <v>1995</v>
      </c>
      <c r="B30" s="647">
        <v>9.2629999999999999</v>
      </c>
      <c r="C30" s="647" t="s">
        <v>6</v>
      </c>
      <c r="D30" s="647">
        <v>2.8819999999999997</v>
      </c>
      <c r="E30" s="647">
        <v>4.4530000000000003</v>
      </c>
      <c r="F30" s="648">
        <v>16.597999999999999</v>
      </c>
    </row>
    <row r="31" spans="1:6" ht="15.95" customHeight="1">
      <c r="A31" s="825">
        <v>1996</v>
      </c>
      <c r="B31" s="826">
        <v>12.923</v>
      </c>
      <c r="C31" s="826" t="s">
        <v>6</v>
      </c>
      <c r="D31" s="826">
        <v>3.262</v>
      </c>
      <c r="E31" s="826">
        <v>2.6550000000000002</v>
      </c>
      <c r="F31" s="827">
        <v>18.84</v>
      </c>
    </row>
    <row r="32" spans="1:6" ht="15.95" customHeight="1">
      <c r="A32" s="646">
        <v>1997</v>
      </c>
      <c r="B32" s="647">
        <v>10.646000000000001</v>
      </c>
      <c r="C32" s="647" t="s">
        <v>6</v>
      </c>
      <c r="D32" s="647">
        <v>3.4800000000000004</v>
      </c>
      <c r="E32" s="647">
        <v>2.7889999999999997</v>
      </c>
      <c r="F32" s="648">
        <v>16.914999999999999</v>
      </c>
    </row>
    <row r="33" spans="1:6" ht="15.95" customHeight="1">
      <c r="A33" s="825">
        <v>1998</v>
      </c>
      <c r="B33" s="826">
        <v>11.89798562</v>
      </c>
      <c r="C33" s="826">
        <v>2.0228636199999999</v>
      </c>
      <c r="D33" s="826">
        <v>5.2816160400000003</v>
      </c>
      <c r="E33" s="826">
        <v>1.1715651</v>
      </c>
      <c r="F33" s="827">
        <v>20.374030380000001</v>
      </c>
    </row>
    <row r="34" spans="1:6" ht="15.95" customHeight="1">
      <c r="A34" s="646">
        <v>1999</v>
      </c>
      <c r="B34" s="647">
        <v>12.737692200000001</v>
      </c>
      <c r="C34" s="647">
        <v>2.33826432</v>
      </c>
      <c r="D34" s="647">
        <v>4.0837702</v>
      </c>
      <c r="E34" s="647">
        <v>0.53996562000000004</v>
      </c>
      <c r="F34" s="648">
        <v>19.699692340000002</v>
      </c>
    </row>
    <row r="35" spans="1:6" ht="15.95" customHeight="1">
      <c r="A35" s="825">
        <v>2000</v>
      </c>
      <c r="B35" s="826">
        <v>13.676885299999999</v>
      </c>
      <c r="C35" s="826">
        <v>1.3970829</v>
      </c>
      <c r="D35" s="826">
        <v>4.1072008999999996</v>
      </c>
      <c r="E35" s="826">
        <v>1.9276968799999998</v>
      </c>
      <c r="F35" s="827">
        <v>21.108865979999997</v>
      </c>
    </row>
    <row r="36" spans="1:6" ht="15.95" customHeight="1">
      <c r="A36" s="646">
        <v>2001</v>
      </c>
      <c r="B36" s="647">
        <v>13.52358428</v>
      </c>
      <c r="C36" s="647">
        <v>1.09219398</v>
      </c>
      <c r="D36" s="647">
        <v>5.5402369599999997</v>
      </c>
      <c r="E36" s="647">
        <v>0.12431471999999999</v>
      </c>
      <c r="F36" s="648">
        <v>20.280329939999998</v>
      </c>
    </row>
    <row r="37" spans="1:6" ht="15.95" customHeight="1">
      <c r="A37" s="825">
        <v>2002</v>
      </c>
      <c r="B37" s="826">
        <v>11.46357296</v>
      </c>
      <c r="C37" s="826">
        <v>3.7234396599999999</v>
      </c>
      <c r="D37" s="826">
        <v>3.2308101599999999</v>
      </c>
      <c r="E37" s="826">
        <v>0.13048092</v>
      </c>
      <c r="F37" s="827">
        <v>18.548303700000002</v>
      </c>
    </row>
    <row r="38" spans="1:6" ht="15.95" customHeight="1">
      <c r="A38" s="646">
        <v>2003</v>
      </c>
      <c r="B38" s="647">
        <v>12.28191112</v>
      </c>
      <c r="C38" s="647">
        <v>3.9301621600000001</v>
      </c>
      <c r="D38" s="647">
        <v>3.9674913199999997</v>
      </c>
      <c r="E38" s="647">
        <v>0.15188288</v>
      </c>
      <c r="F38" s="648">
        <v>20.331447480000001</v>
      </c>
    </row>
    <row r="39" spans="1:6" ht="15.95" customHeight="1">
      <c r="A39" s="825">
        <v>2004</v>
      </c>
      <c r="B39" s="826">
        <v>12.63420238</v>
      </c>
      <c r="C39" s="826">
        <v>5.4375400599999999</v>
      </c>
      <c r="D39" s="826">
        <v>2.5945038999999999</v>
      </c>
      <c r="E39" s="826">
        <v>7.6675879999999988E-2</v>
      </c>
      <c r="F39" s="827">
        <v>20.742922219999993</v>
      </c>
    </row>
    <row r="40" spans="1:6" ht="15.95" customHeight="1">
      <c r="A40" s="646">
        <v>2005</v>
      </c>
      <c r="B40" s="647">
        <v>10.948514660000001</v>
      </c>
      <c r="C40" s="647">
        <v>7.1392624799999993</v>
      </c>
      <c r="D40" s="647">
        <v>1.8242268399999999</v>
      </c>
      <c r="E40" s="647">
        <v>0.18561638</v>
      </c>
      <c r="F40" s="648">
        <v>20.097620360000001</v>
      </c>
    </row>
    <row r="41" spans="1:6" ht="15.95" customHeight="1">
      <c r="A41" s="825">
        <v>2006</v>
      </c>
      <c r="B41" s="826">
        <v>10.7085566</v>
      </c>
      <c r="C41" s="826">
        <v>7.0334497999999996</v>
      </c>
      <c r="D41" s="826">
        <v>1.38938848</v>
      </c>
      <c r="E41" s="826">
        <v>0.20981075999999999</v>
      </c>
      <c r="F41" s="827">
        <v>19.341205640000002</v>
      </c>
    </row>
    <row r="42" spans="1:6" ht="15.95" customHeight="1">
      <c r="A42" s="646">
        <v>2007</v>
      </c>
      <c r="B42" s="647">
        <v>10.457372960000001</v>
      </c>
      <c r="C42" s="647">
        <v>5.9770963200000002</v>
      </c>
      <c r="D42" s="647">
        <v>1.48236652</v>
      </c>
      <c r="E42" s="647">
        <v>8.2934959999999988E-2</v>
      </c>
      <c r="F42" s="648">
        <v>17.999770760000001</v>
      </c>
    </row>
    <row r="43" spans="1:6" ht="15.95" customHeight="1">
      <c r="A43" s="825">
        <v>2008</v>
      </c>
      <c r="B43" s="826">
        <v>11.21982918</v>
      </c>
      <c r="C43" s="826">
        <v>7.1631326399999997</v>
      </c>
      <c r="D43" s="826">
        <v>2.3232917199999998</v>
      </c>
      <c r="E43" s="826">
        <v>0.32720076000000003</v>
      </c>
      <c r="F43" s="827">
        <v>21.033454300000002</v>
      </c>
    </row>
    <row r="44" spans="1:6" ht="15.95" customHeight="1">
      <c r="A44" s="646">
        <v>2009</v>
      </c>
      <c r="B44" s="647">
        <v>9.1337194400000001</v>
      </c>
      <c r="C44" s="647">
        <v>7.1669003</v>
      </c>
      <c r="D44" s="647">
        <v>2.5534500800000002</v>
      </c>
      <c r="E44" s="647">
        <v>0.15151394000000001</v>
      </c>
      <c r="F44" s="648">
        <v>19.00558376</v>
      </c>
    </row>
    <row r="45" spans="1:6" ht="15.95" customHeight="1">
      <c r="A45" s="825">
        <v>2010</v>
      </c>
      <c r="B45" s="826">
        <v>9.6840145199999998</v>
      </c>
      <c r="C45" s="826">
        <v>8.80763754</v>
      </c>
      <c r="D45" s="826">
        <v>1.2430956000000002</v>
      </c>
      <c r="E45" s="826">
        <v>0.12627208000000001</v>
      </c>
      <c r="F45" s="827">
        <v>19.86101974</v>
      </c>
    </row>
    <row r="46" spans="1:6" ht="15.95" customHeight="1">
      <c r="A46" s="646">
        <v>2011</v>
      </c>
      <c r="B46" s="647">
        <v>8.0521885999999991</v>
      </c>
      <c r="C46" s="647">
        <v>9.6546670199999998</v>
      </c>
      <c r="D46" s="647">
        <v>1.09089882</v>
      </c>
      <c r="E46" s="647">
        <v>2.4819600000000001E-3</v>
      </c>
      <c r="F46" s="648">
        <v>18.800236399999999</v>
      </c>
    </row>
    <row r="47" spans="1:6" ht="15.95" customHeight="1">
      <c r="A47" s="825">
        <v>2012</v>
      </c>
      <c r="B47" s="826">
        <v>9.5246298599999992</v>
      </c>
      <c r="C47" s="826">
        <v>8.7396201400000013</v>
      </c>
      <c r="D47" s="826">
        <v>2.1444022599999997</v>
      </c>
      <c r="E47" s="826">
        <v>0.26438807999999997</v>
      </c>
      <c r="F47" s="827">
        <v>20.673040339999996</v>
      </c>
    </row>
    <row r="48" spans="1:6" ht="15.95" customHeight="1">
      <c r="A48" s="646">
        <v>2013</v>
      </c>
      <c r="B48" s="647">
        <v>7.0266274199999996</v>
      </c>
      <c r="C48" s="647">
        <v>6.5752160000000002</v>
      </c>
      <c r="D48" s="647">
        <v>3.1528459999999998</v>
      </c>
      <c r="E48" s="647">
        <v>1.583174E-2</v>
      </c>
      <c r="F48" s="648">
        <v>16.770521160000001</v>
      </c>
    </row>
    <row r="49" spans="1:6" ht="15.95" customHeight="1">
      <c r="A49" s="825">
        <v>2014</v>
      </c>
      <c r="B49" s="826">
        <v>6.05</v>
      </c>
      <c r="C49" s="826">
        <v>8.5299999999999994</v>
      </c>
      <c r="D49" s="826">
        <v>3.31</v>
      </c>
      <c r="E49" s="826">
        <v>0.84</v>
      </c>
      <c r="F49" s="827">
        <v>18.73</v>
      </c>
    </row>
    <row r="50" spans="1:6" ht="15.95" customHeight="1">
      <c r="A50" s="646">
        <v>2015</v>
      </c>
      <c r="B50" s="647">
        <v>7.89</v>
      </c>
      <c r="C50" s="647">
        <v>8.75</v>
      </c>
      <c r="D50" s="647">
        <v>3.3</v>
      </c>
      <c r="E50" s="647">
        <v>0.17</v>
      </c>
      <c r="F50" s="648">
        <v>20.11</v>
      </c>
    </row>
    <row r="52" spans="1:6" ht="27" customHeight="1">
      <c r="A52" s="1068" t="s">
        <v>430</v>
      </c>
      <c r="B52" s="1068"/>
      <c r="C52" s="1068"/>
      <c r="D52" s="1068"/>
      <c r="E52" s="1068"/>
      <c r="F52" s="1068"/>
    </row>
    <row r="53" spans="1:6" ht="15.95" customHeight="1">
      <c r="A53" s="650" t="s">
        <v>482</v>
      </c>
      <c r="B53" s="650"/>
      <c r="C53" s="650"/>
      <c r="D53" s="650"/>
      <c r="E53" s="650"/>
      <c r="F53" s="652"/>
    </row>
    <row r="54" spans="1:6">
      <c r="A54" s="653" t="s">
        <v>508</v>
      </c>
      <c r="B54" s="649"/>
      <c r="D54" s="649"/>
      <c r="E54" s="649"/>
    </row>
  </sheetData>
  <mergeCells count="1">
    <mergeCell ref="A52:F52"/>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theme="6" tint="0.39997558519241921"/>
  </sheetPr>
  <dimension ref="A1:I41"/>
  <sheetViews>
    <sheetView zoomScaleNormal="100" zoomScaleSheetLayoutView="80" zoomScalePageLayoutView="90" workbookViewId="0">
      <pane ySplit="6" topLeftCell="A7" activePane="bottomLeft" state="frozen"/>
      <selection pane="bottomLeft" activeCell="C1" sqref="C1"/>
    </sheetView>
  </sheetViews>
  <sheetFormatPr defaultColWidth="9" defaultRowHeight="13.15"/>
  <cols>
    <col min="1" max="1" width="9" style="217" customWidth="1"/>
    <col min="2" max="2" width="9.1328125" style="211" customWidth="1"/>
    <col min="3" max="3" width="9.73046875" style="211" customWidth="1"/>
    <col min="4" max="4" width="10.1328125" style="211" bestFit="1" customWidth="1"/>
    <col min="5" max="5" width="12.265625" style="211" bestFit="1" customWidth="1"/>
    <col min="6" max="6" width="14.1328125" style="211" customWidth="1"/>
    <col min="7" max="7" width="8.73046875" style="211" customWidth="1"/>
    <col min="8" max="8" width="9.73046875" style="212" customWidth="1"/>
    <col min="9" max="9" width="13.3984375" style="211" customWidth="1"/>
    <col min="10" max="16384" width="9" style="211"/>
  </cols>
  <sheetData>
    <row r="1" spans="1:9" ht="15.95" customHeight="1">
      <c r="A1" s="524" t="str">
        <f>IF(språk=lista[[#Headers],[Svenska]],"Innehåll",IF(språk=lista[[#Headers],[English]],"Contents","FEL"))</f>
        <v>Contents</v>
      </c>
    </row>
    <row r="2" spans="1:9" ht="15.95" customHeight="1"/>
    <row r="3" spans="1:9" ht="15.95" customHeight="1">
      <c r="A3" s="643" t="str">
        <f>IFERROR(INDEX(lista[],MATCH($A5,lista[ID],0),MATCH(språk,lista[#Headers],0)),"")</f>
        <v xml:space="preserve">Petroleum product imports, from 1983, TWh </v>
      </c>
      <c r="B3" s="643"/>
      <c r="C3" s="643"/>
      <c r="D3" s="643"/>
      <c r="E3" s="643"/>
      <c r="F3" s="643"/>
      <c r="G3" s="643"/>
      <c r="H3" s="643"/>
      <c r="I3" s="210"/>
    </row>
    <row r="4" spans="1:9" s="279" customFormat="1" ht="15.95" customHeight="1">
      <c r="A4" s="400"/>
      <c r="H4" s="280"/>
    </row>
    <row r="5" spans="1:9" s="279" customFormat="1" ht="15.95" hidden="1" customHeight="1">
      <c r="A5" s="276">
        <v>69</v>
      </c>
      <c r="B5" s="279" t="s">
        <v>647</v>
      </c>
      <c r="C5" s="279" t="s">
        <v>648</v>
      </c>
      <c r="D5" s="279" t="s">
        <v>649</v>
      </c>
      <c r="E5" s="279" t="s">
        <v>650</v>
      </c>
      <c r="F5" s="279" t="s">
        <v>651</v>
      </c>
      <c r="G5" s="279" t="s">
        <v>652</v>
      </c>
      <c r="H5" s="280"/>
    </row>
    <row r="6" spans="1:9" s="526" customFormat="1" ht="26.25">
      <c r="A6" s="525"/>
      <c r="B6" s="205" t="str">
        <f>IFERROR(INDEX(_9.4[],MATCH(språk,_9.4[[id]:[id]],0),MATCH(B$5,_9.4[#Headers],0)),"")</f>
        <v>LPG</v>
      </c>
      <c r="C6" s="205" t="str">
        <f>IFERROR(INDEX(_9.4[],MATCH(språk,_9.4[[id]:[id]],0),MATCH(C$5,_9.4[#Headers],0)),"")</f>
        <v>Petrol</v>
      </c>
      <c r="D6" s="205" t="str">
        <f>IFERROR(INDEX(_9.4[],MATCH(språk,_9.4[[id]:[id]],0),MATCH(D$5,_9.4[#Headers],0)),"")</f>
        <v>Light distillates</v>
      </c>
      <c r="E6" s="205" t="str">
        <f>IFERROR(INDEX(_9.4[],MATCH(språk,_9.4[[id]:[id]],0),MATCH(E$5,_9.4[#Headers],0)),"")</f>
        <v>Diesel and light heating oil</v>
      </c>
      <c r="F6" s="205" t="str">
        <f>IFERROR(INDEX(_9.4[],MATCH(språk,_9.4[[id]:[id]],0),MATCH(F$5,_9.4[#Headers],0)),"")</f>
        <v>Heavy fuel oil</v>
      </c>
      <c r="G6" s="205" t="str">
        <f>IFERROR(INDEX(_9.4[],MATCH(språk,_9.4[[id]:[id]],0),MATCH(G$5,_9.4[#Headers],0)),"")</f>
        <v>Other</v>
      </c>
      <c r="H6" s="235" t="str">
        <f>IF(språk=lista[[#Headers],[Svenska]],"Totalt",IF(språk=lista[[#Headers],[English]],"Total","FEL"))</f>
        <v>Total</v>
      </c>
    </row>
    <row r="7" spans="1:9" ht="15.95" customHeight="1">
      <c r="A7" s="213">
        <v>1983</v>
      </c>
      <c r="B7" s="214">
        <v>2.3027777777777776</v>
      </c>
      <c r="C7" s="214">
        <v>18.919166666666666</v>
      </c>
      <c r="D7" s="214">
        <v>14.403611111111111</v>
      </c>
      <c r="E7" s="214">
        <v>41.153333333333336</v>
      </c>
      <c r="F7" s="214">
        <v>24.660277777777779</v>
      </c>
      <c r="G7" s="214">
        <v>1.1816666666666666</v>
      </c>
      <c r="H7" s="215">
        <v>102.62083333333334</v>
      </c>
      <c r="I7" s="258"/>
    </row>
    <row r="8" spans="1:9" ht="15.95" customHeight="1">
      <c r="A8" s="822">
        <v>1984</v>
      </c>
      <c r="B8" s="828">
        <v>4.8358333333333334</v>
      </c>
      <c r="C8" s="828">
        <v>14.6275</v>
      </c>
      <c r="D8" s="828">
        <v>12.6875</v>
      </c>
      <c r="E8" s="828">
        <v>32.641944444444448</v>
      </c>
      <c r="F8" s="828">
        <v>15.672222222222222</v>
      </c>
      <c r="G8" s="828">
        <v>0.99527777777777782</v>
      </c>
      <c r="H8" s="829">
        <v>81.460277777777776</v>
      </c>
      <c r="I8" s="258"/>
    </row>
    <row r="9" spans="1:9" ht="15.95" customHeight="1">
      <c r="A9" s="213">
        <v>1985</v>
      </c>
      <c r="B9" s="214">
        <v>3.5691666666666668</v>
      </c>
      <c r="C9" s="214">
        <v>17.288055555555555</v>
      </c>
      <c r="D9" s="214">
        <v>10.027222222222223</v>
      </c>
      <c r="E9" s="214">
        <v>34.81666666666667</v>
      </c>
      <c r="F9" s="214">
        <v>26.423333333333332</v>
      </c>
      <c r="G9" s="214">
        <v>0.95805555555555555</v>
      </c>
      <c r="H9" s="215">
        <v>93.08250000000001</v>
      </c>
      <c r="I9" s="258"/>
    </row>
    <row r="10" spans="1:9" ht="15.95" customHeight="1">
      <c r="A10" s="822">
        <v>1986</v>
      </c>
      <c r="B10" s="828">
        <v>4.6822222222222223</v>
      </c>
      <c r="C10" s="828">
        <v>15.787777777777778</v>
      </c>
      <c r="D10" s="828">
        <v>13.146944444444445</v>
      </c>
      <c r="E10" s="828">
        <v>32.859444444444442</v>
      </c>
      <c r="F10" s="828">
        <v>32.977499999999999</v>
      </c>
      <c r="G10" s="828">
        <v>2.5758333333333332</v>
      </c>
      <c r="H10" s="829">
        <v>102.02972222222222</v>
      </c>
      <c r="I10" s="258"/>
    </row>
    <row r="11" spans="1:9" ht="15.95" customHeight="1">
      <c r="A11" s="213">
        <v>1987</v>
      </c>
      <c r="B11" s="214">
        <v>6.4477777777777776</v>
      </c>
      <c r="C11" s="214">
        <v>16.25888888888889</v>
      </c>
      <c r="D11" s="214">
        <v>10.352777777777778</v>
      </c>
      <c r="E11" s="214">
        <v>27.244444444444444</v>
      </c>
      <c r="F11" s="214">
        <v>19.468611111111112</v>
      </c>
      <c r="G11" s="214">
        <v>1.2124999999999999</v>
      </c>
      <c r="H11" s="215">
        <v>80.985000000000014</v>
      </c>
      <c r="I11" s="258"/>
    </row>
    <row r="12" spans="1:9" ht="15.95" customHeight="1">
      <c r="A12" s="822">
        <v>1988</v>
      </c>
      <c r="B12" s="828">
        <v>5.974444444444444</v>
      </c>
      <c r="C12" s="828">
        <v>18.701111111111111</v>
      </c>
      <c r="D12" s="828">
        <v>12.238055555555556</v>
      </c>
      <c r="E12" s="828">
        <v>28.391111111111112</v>
      </c>
      <c r="F12" s="828">
        <v>14.709722222222222</v>
      </c>
      <c r="G12" s="828">
        <v>2.2469444444444444</v>
      </c>
      <c r="H12" s="829">
        <v>82.261388888888888</v>
      </c>
      <c r="I12" s="258"/>
    </row>
    <row r="13" spans="1:9" ht="15.95" customHeight="1">
      <c r="A13" s="213">
        <v>1989</v>
      </c>
      <c r="B13" s="214">
        <v>7.0744444444444445</v>
      </c>
      <c r="C13" s="214">
        <v>18.858055555555556</v>
      </c>
      <c r="D13" s="214">
        <v>11.83388888888889</v>
      </c>
      <c r="E13" s="214">
        <v>22.726666666666667</v>
      </c>
      <c r="F13" s="214">
        <v>7.5602777777777774</v>
      </c>
      <c r="G13" s="214">
        <v>1.7358333333333333</v>
      </c>
      <c r="H13" s="215">
        <v>69.789166666666674</v>
      </c>
      <c r="I13" s="258"/>
    </row>
    <row r="14" spans="1:9" ht="15.95" customHeight="1">
      <c r="A14" s="822">
        <v>1990</v>
      </c>
      <c r="B14" s="828">
        <v>8.7633333333333336</v>
      </c>
      <c r="C14" s="828">
        <v>16.755833333333332</v>
      </c>
      <c r="D14" s="828">
        <v>13.2525</v>
      </c>
      <c r="E14" s="828">
        <v>21.145</v>
      </c>
      <c r="F14" s="828">
        <v>8.3713888888888892</v>
      </c>
      <c r="G14" s="828">
        <v>1.3155555555555556</v>
      </c>
      <c r="H14" s="829">
        <v>69.603611111111107</v>
      </c>
      <c r="I14" s="258"/>
    </row>
    <row r="15" spans="1:9" ht="15.95" customHeight="1">
      <c r="A15" s="213">
        <v>1991</v>
      </c>
      <c r="B15" s="214">
        <v>8.7119444444444447</v>
      </c>
      <c r="C15" s="214">
        <v>22.512777777777778</v>
      </c>
      <c r="D15" s="214">
        <v>10.9725</v>
      </c>
      <c r="E15" s="214">
        <v>22.32138888888889</v>
      </c>
      <c r="F15" s="214">
        <v>5.7324999999999999</v>
      </c>
      <c r="G15" s="214">
        <v>1.6983333333333333</v>
      </c>
      <c r="H15" s="215">
        <v>71.949444444444453</v>
      </c>
      <c r="I15" s="258"/>
    </row>
    <row r="16" spans="1:9" ht="15.95" customHeight="1">
      <c r="A16" s="822">
        <v>1992</v>
      </c>
      <c r="B16" s="828">
        <v>10.349444444444444</v>
      </c>
      <c r="C16" s="828">
        <v>19.756388888888889</v>
      </c>
      <c r="D16" s="828">
        <v>13.58388888888889</v>
      </c>
      <c r="E16" s="828">
        <v>22.479722222222222</v>
      </c>
      <c r="F16" s="828">
        <v>8.8691666666666666</v>
      </c>
      <c r="G16" s="828">
        <v>2.5083333333333333</v>
      </c>
      <c r="H16" s="829">
        <v>77.546944444444463</v>
      </c>
      <c r="I16" s="258"/>
    </row>
    <row r="17" spans="1:9" ht="15.95" customHeight="1">
      <c r="A17" s="213">
        <v>1993</v>
      </c>
      <c r="B17" s="214">
        <v>9.4797222222222217</v>
      </c>
      <c r="C17" s="214">
        <v>17.357777777777777</v>
      </c>
      <c r="D17" s="214">
        <v>11.944166666666666</v>
      </c>
      <c r="E17" s="214">
        <v>24.27888888888889</v>
      </c>
      <c r="F17" s="214">
        <v>7.6469444444444443</v>
      </c>
      <c r="G17" s="214">
        <v>1.8933333333333333</v>
      </c>
      <c r="H17" s="215">
        <v>72.600833333333327</v>
      </c>
      <c r="I17" s="258"/>
    </row>
    <row r="18" spans="1:9" ht="15.95" customHeight="1">
      <c r="A18" s="822">
        <v>1994</v>
      </c>
      <c r="B18" s="828">
        <v>10.861388888888889</v>
      </c>
      <c r="C18" s="828">
        <v>17.540833333333332</v>
      </c>
      <c r="D18" s="828">
        <v>16.753055555555555</v>
      </c>
      <c r="E18" s="828">
        <v>24.031666666666666</v>
      </c>
      <c r="F18" s="828">
        <v>14.568888888888889</v>
      </c>
      <c r="G18" s="828">
        <v>1.8580555555555556</v>
      </c>
      <c r="H18" s="829">
        <v>85.61388888888888</v>
      </c>
      <c r="I18" s="258"/>
    </row>
    <row r="19" spans="1:9" ht="15.95" customHeight="1">
      <c r="A19" s="213">
        <v>1995</v>
      </c>
      <c r="B19" s="214">
        <v>10.490277777777777</v>
      </c>
      <c r="C19" s="214">
        <v>21.658055555555556</v>
      </c>
      <c r="D19" s="214">
        <v>16.745555555555555</v>
      </c>
      <c r="E19" s="214">
        <v>17.27</v>
      </c>
      <c r="F19" s="214">
        <v>8.8041666666666671</v>
      </c>
      <c r="G19" s="214">
        <v>2.5622222222222222</v>
      </c>
      <c r="H19" s="215">
        <v>77.530277777777783</v>
      </c>
      <c r="I19" s="258"/>
    </row>
    <row r="20" spans="1:9" ht="15.95" customHeight="1">
      <c r="A20" s="822">
        <v>1996</v>
      </c>
      <c r="B20" s="828">
        <v>10.643888888888888</v>
      </c>
      <c r="C20" s="828">
        <v>17.279166666666665</v>
      </c>
      <c r="D20" s="828">
        <v>16.868611111111111</v>
      </c>
      <c r="E20" s="828">
        <v>21.599722222222223</v>
      </c>
      <c r="F20" s="828">
        <v>21.642499999999998</v>
      </c>
      <c r="G20" s="828">
        <v>1.9327777777777777</v>
      </c>
      <c r="H20" s="829">
        <v>89.966666666666654</v>
      </c>
      <c r="I20" s="258"/>
    </row>
    <row r="21" spans="1:9" ht="15.95" customHeight="1">
      <c r="A21" s="213">
        <v>1997</v>
      </c>
      <c r="B21" s="214">
        <v>10.874166666666667</v>
      </c>
      <c r="C21" s="214">
        <v>17.88111111111111</v>
      </c>
      <c r="D21" s="214">
        <v>18.583611111111111</v>
      </c>
      <c r="E21" s="214">
        <v>15.698055555555555</v>
      </c>
      <c r="F21" s="214">
        <v>8.9122222222222227</v>
      </c>
      <c r="G21" s="214">
        <v>2.8555555555555556</v>
      </c>
      <c r="H21" s="215">
        <v>74.804722222222225</v>
      </c>
      <c r="I21" s="258"/>
    </row>
    <row r="22" spans="1:9" ht="15.95" customHeight="1">
      <c r="A22" s="822">
        <v>1998</v>
      </c>
      <c r="B22" s="828">
        <v>9.6972222222222229</v>
      </c>
      <c r="C22" s="828">
        <v>18.561388888888889</v>
      </c>
      <c r="D22" s="828">
        <v>16.676111111111112</v>
      </c>
      <c r="E22" s="828">
        <v>19.513888888888889</v>
      </c>
      <c r="F22" s="828">
        <v>11.259444444444444</v>
      </c>
      <c r="G22" s="828">
        <v>2.0283333333333333</v>
      </c>
      <c r="H22" s="829">
        <v>77.736388888888882</v>
      </c>
      <c r="I22" s="258"/>
    </row>
    <row r="23" spans="1:9" ht="15.95" customHeight="1">
      <c r="A23" s="213">
        <v>1999</v>
      </c>
      <c r="B23" s="214">
        <v>9.0574999999999992</v>
      </c>
      <c r="C23" s="214">
        <v>18.796944444444446</v>
      </c>
      <c r="D23" s="214">
        <v>14.782222222222222</v>
      </c>
      <c r="E23" s="214">
        <v>18.031111111111112</v>
      </c>
      <c r="F23" s="214">
        <v>6.0894444444444442</v>
      </c>
      <c r="G23" s="214">
        <v>3.1658333333333335</v>
      </c>
      <c r="H23" s="215">
        <v>69.923055555555564</v>
      </c>
      <c r="I23" s="258"/>
    </row>
    <row r="24" spans="1:9" ht="15.95" customHeight="1">
      <c r="A24" s="822">
        <v>2000</v>
      </c>
      <c r="B24" s="828">
        <v>8.7458333333333336</v>
      </c>
      <c r="C24" s="828">
        <v>18.944722222222222</v>
      </c>
      <c r="D24" s="828">
        <v>16.601944444444445</v>
      </c>
      <c r="E24" s="828">
        <v>16.023333333333333</v>
      </c>
      <c r="F24" s="828">
        <v>6.7808333333333337</v>
      </c>
      <c r="G24" s="828">
        <v>3.3183333333333334</v>
      </c>
      <c r="H24" s="829">
        <v>70.414999999999992</v>
      </c>
      <c r="I24" s="258"/>
    </row>
    <row r="25" spans="1:9" ht="15.95" customHeight="1">
      <c r="A25" s="213">
        <v>2001</v>
      </c>
      <c r="B25" s="214">
        <v>11.28888888888889</v>
      </c>
      <c r="C25" s="214">
        <v>20.029722222222222</v>
      </c>
      <c r="D25" s="214">
        <v>17.779722222222222</v>
      </c>
      <c r="E25" s="214">
        <v>15.021944444444445</v>
      </c>
      <c r="F25" s="214">
        <v>8.1402777777777775</v>
      </c>
      <c r="G25" s="214">
        <v>3.431111111111111</v>
      </c>
      <c r="H25" s="215">
        <v>75.691666666666663</v>
      </c>
      <c r="I25" s="258"/>
    </row>
    <row r="26" spans="1:9" ht="15.95" customHeight="1">
      <c r="A26" s="822">
        <v>2002</v>
      </c>
      <c r="B26" s="828">
        <v>10.159722222222221</v>
      </c>
      <c r="C26" s="828">
        <v>20.927499999999998</v>
      </c>
      <c r="D26" s="828">
        <v>13.885277777777778</v>
      </c>
      <c r="E26" s="828">
        <v>23.191111111111113</v>
      </c>
      <c r="F26" s="828">
        <v>6.2761111111111108</v>
      </c>
      <c r="G26" s="828">
        <v>2.3994444444444443</v>
      </c>
      <c r="H26" s="829">
        <v>76.839166666666657</v>
      </c>
      <c r="I26" s="258"/>
    </row>
    <row r="27" spans="1:9" ht="15.95" customHeight="1">
      <c r="A27" s="213">
        <v>2003</v>
      </c>
      <c r="B27" s="214">
        <v>10.921111111111111</v>
      </c>
      <c r="C27" s="214">
        <v>21.392222222222223</v>
      </c>
      <c r="D27" s="214">
        <v>16.204166666666666</v>
      </c>
      <c r="E27" s="214">
        <v>28.107777777777777</v>
      </c>
      <c r="F27" s="214">
        <v>8.7375000000000007</v>
      </c>
      <c r="G27" s="214">
        <v>4.0366666666666671</v>
      </c>
      <c r="H27" s="215">
        <v>89.399444444444427</v>
      </c>
      <c r="I27" s="258"/>
    </row>
    <row r="28" spans="1:9" ht="15.95" customHeight="1">
      <c r="A28" s="822">
        <v>2004</v>
      </c>
      <c r="B28" s="828">
        <v>10.435</v>
      </c>
      <c r="C28" s="828">
        <v>21.995000000000001</v>
      </c>
      <c r="D28" s="828">
        <v>17.829722222222223</v>
      </c>
      <c r="E28" s="828">
        <v>23.005833333333332</v>
      </c>
      <c r="F28" s="828">
        <v>3.7880555555555557</v>
      </c>
      <c r="G28" s="828">
        <v>3.7619444444444445</v>
      </c>
      <c r="H28" s="829">
        <v>80.815555555555548</v>
      </c>
      <c r="I28" s="258"/>
    </row>
    <row r="29" spans="1:9" ht="15.95" customHeight="1">
      <c r="A29" s="213">
        <v>2005</v>
      </c>
      <c r="B29" s="214">
        <v>10.823888888888888</v>
      </c>
      <c r="C29" s="214">
        <v>21.83111111111111</v>
      </c>
      <c r="D29" s="214">
        <v>17.558888888888887</v>
      </c>
      <c r="E29" s="214">
        <v>22.660277777777779</v>
      </c>
      <c r="F29" s="214">
        <v>6.2488888888888887</v>
      </c>
      <c r="G29" s="214">
        <v>8.0352777777777771</v>
      </c>
      <c r="H29" s="215">
        <v>87.158333333333331</v>
      </c>
      <c r="I29" s="258"/>
    </row>
    <row r="30" spans="1:9" ht="15.95" customHeight="1">
      <c r="A30" s="822">
        <v>2006</v>
      </c>
      <c r="B30" s="828">
        <v>13.571388888888889</v>
      </c>
      <c r="C30" s="828">
        <v>21.210833333333333</v>
      </c>
      <c r="D30" s="828">
        <v>15.585000000000001</v>
      </c>
      <c r="E30" s="828">
        <v>22.322222222222223</v>
      </c>
      <c r="F30" s="828">
        <v>7.3991666666666669</v>
      </c>
      <c r="G30" s="828">
        <v>8.4202777777777786</v>
      </c>
      <c r="H30" s="829">
        <v>88.508888888888904</v>
      </c>
      <c r="I30" s="258"/>
    </row>
    <row r="31" spans="1:9" ht="15.95" customHeight="1">
      <c r="A31" s="213">
        <v>2007</v>
      </c>
      <c r="B31" s="214">
        <v>12.372222222222222</v>
      </c>
      <c r="C31" s="214">
        <v>22.881944444444443</v>
      </c>
      <c r="D31" s="214">
        <v>13.468333333333334</v>
      </c>
      <c r="E31" s="214">
        <v>22.40388888888889</v>
      </c>
      <c r="F31" s="214">
        <v>10.706944444444444</v>
      </c>
      <c r="G31" s="214">
        <v>7.799722222222222</v>
      </c>
      <c r="H31" s="215">
        <v>89.633055555555558</v>
      </c>
      <c r="I31" s="258"/>
    </row>
    <row r="32" spans="1:9" ht="15.95" customHeight="1">
      <c r="A32" s="822">
        <v>2008</v>
      </c>
      <c r="B32" s="828">
        <v>11.77</v>
      </c>
      <c r="C32" s="828">
        <v>19.932222222222222</v>
      </c>
      <c r="D32" s="828">
        <v>15.129444444444445</v>
      </c>
      <c r="E32" s="828">
        <v>21.184722222222224</v>
      </c>
      <c r="F32" s="828">
        <v>12.351666666666667</v>
      </c>
      <c r="G32" s="828">
        <v>7.9683333333333337</v>
      </c>
      <c r="H32" s="829">
        <v>88.336388888888877</v>
      </c>
      <c r="I32" s="258"/>
    </row>
    <row r="33" spans="1:9" ht="15.95" customHeight="1">
      <c r="A33" s="213">
        <v>2009</v>
      </c>
      <c r="B33" s="214">
        <v>9.7697222222222226</v>
      </c>
      <c r="C33" s="214">
        <v>19.636944444444445</v>
      </c>
      <c r="D33" s="214">
        <v>12.951111111111111</v>
      </c>
      <c r="E33" s="214">
        <v>23.933888888888887</v>
      </c>
      <c r="F33" s="214">
        <v>14.455833333333333</v>
      </c>
      <c r="G33" s="214">
        <v>6.6677777777777774</v>
      </c>
      <c r="H33" s="215">
        <v>87.41527777777776</v>
      </c>
      <c r="I33" s="258"/>
    </row>
    <row r="34" spans="1:9" ht="15.95" customHeight="1">
      <c r="A34" s="822">
        <v>2010</v>
      </c>
      <c r="B34" s="828">
        <v>11.587222222222222</v>
      </c>
      <c r="C34" s="828">
        <v>22.539722222222224</v>
      </c>
      <c r="D34" s="828">
        <v>14.086388888888889</v>
      </c>
      <c r="E34" s="828">
        <v>25.683611111111112</v>
      </c>
      <c r="F34" s="828">
        <v>12.171388888888888</v>
      </c>
      <c r="G34" s="828">
        <v>7.6658333333333335</v>
      </c>
      <c r="H34" s="829">
        <v>93.734166666666667</v>
      </c>
      <c r="I34" s="258"/>
    </row>
    <row r="35" spans="1:9" ht="15.95" customHeight="1">
      <c r="A35" s="213">
        <v>2011</v>
      </c>
      <c r="B35" s="214">
        <v>15.203888888888889</v>
      </c>
      <c r="C35" s="214">
        <v>18.050555555555555</v>
      </c>
      <c r="D35" s="214">
        <v>13.430555555555555</v>
      </c>
      <c r="E35" s="214">
        <v>26.439722222222223</v>
      </c>
      <c r="F35" s="214">
        <v>14.2425</v>
      </c>
      <c r="G35" s="214">
        <v>8.5252777777777773</v>
      </c>
      <c r="H35" s="215">
        <v>95.892500000000013</v>
      </c>
      <c r="I35" s="258"/>
    </row>
    <row r="36" spans="1:9" ht="15.95" customHeight="1">
      <c r="A36" s="822">
        <v>2012</v>
      </c>
      <c r="B36" s="828">
        <v>10.469166666666666</v>
      </c>
      <c r="C36" s="828">
        <v>14.268611111111111</v>
      </c>
      <c r="D36" s="828">
        <v>12.245833333333334</v>
      </c>
      <c r="E36" s="828">
        <v>24.993611111111111</v>
      </c>
      <c r="F36" s="828">
        <v>9.1397222222222219</v>
      </c>
      <c r="G36" s="828">
        <v>7.8191666666666668</v>
      </c>
      <c r="H36" s="829">
        <v>78.936111111111103</v>
      </c>
      <c r="I36" s="258"/>
    </row>
    <row r="37" spans="1:9" ht="15.95" customHeight="1">
      <c r="A37" s="213">
        <v>2013</v>
      </c>
      <c r="B37" s="214">
        <v>13.118055555555555</v>
      </c>
      <c r="C37" s="214">
        <v>15.105833333333333</v>
      </c>
      <c r="D37" s="214">
        <v>9.9030555555555555</v>
      </c>
      <c r="E37" s="214">
        <v>26.026944444444446</v>
      </c>
      <c r="F37" s="214">
        <v>8.8475000000000001</v>
      </c>
      <c r="G37" s="214">
        <v>6.79</v>
      </c>
      <c r="H37" s="215">
        <v>79.791388888888889</v>
      </c>
      <c r="I37" s="258"/>
    </row>
    <row r="38" spans="1:9" ht="15.95" customHeight="1">
      <c r="A38" s="822">
        <v>2014</v>
      </c>
      <c r="B38" s="828">
        <v>14.085555555555555</v>
      </c>
      <c r="C38" s="828">
        <v>22.029444444444444</v>
      </c>
      <c r="D38" s="828">
        <v>14.515277777777778</v>
      </c>
      <c r="E38" s="828">
        <v>28.865555555555556</v>
      </c>
      <c r="F38" s="828">
        <v>4.5022222222222226</v>
      </c>
      <c r="G38" s="828">
        <v>8.5649999999999995</v>
      </c>
      <c r="H38" s="829">
        <v>92.563055555555536</v>
      </c>
      <c r="I38" s="258"/>
    </row>
    <row r="39" spans="1:9" ht="15.95" customHeight="1">
      <c r="A39" s="213">
        <v>2015</v>
      </c>
      <c r="B39" s="214">
        <v>12.598055555555556</v>
      </c>
      <c r="C39" s="214">
        <v>20.595833333333335</v>
      </c>
      <c r="D39" s="214">
        <v>12.342222222222222</v>
      </c>
      <c r="E39" s="214">
        <v>30.966666666666665</v>
      </c>
      <c r="F39" s="214">
        <v>7.9688888888888885</v>
      </c>
      <c r="G39" s="214">
        <v>7.833333333333333</v>
      </c>
      <c r="H39" s="215">
        <v>92.304999999999993</v>
      </c>
      <c r="I39" s="258"/>
    </row>
    <row r="40" spans="1:9" ht="15.95" customHeight="1">
      <c r="A40" s="213"/>
      <c r="B40" s="214"/>
      <c r="C40" s="214"/>
      <c r="D40" s="214"/>
      <c r="E40" s="214"/>
      <c r="F40" s="214"/>
      <c r="G40" s="214"/>
      <c r="H40" s="215"/>
    </row>
    <row r="41" spans="1:9" ht="15.95" customHeight="1">
      <c r="A41"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tabColor theme="6" tint="0.39997558519241921"/>
  </sheetPr>
  <dimension ref="A1:I41"/>
  <sheetViews>
    <sheetView zoomScaleNormal="100" zoomScaleSheetLayoutView="80" zoomScalePageLayoutView="90" workbookViewId="0">
      <pane ySplit="6" topLeftCell="A7" activePane="bottomLeft" state="frozen"/>
      <selection pane="bottomLeft" activeCell="C1" sqref="C1"/>
    </sheetView>
  </sheetViews>
  <sheetFormatPr defaultColWidth="9" defaultRowHeight="13.15"/>
  <cols>
    <col min="1" max="1" width="9" style="217" customWidth="1"/>
    <col min="2" max="2" width="8.265625" style="211" customWidth="1"/>
    <col min="3" max="3" width="8.86328125" style="211" customWidth="1"/>
    <col min="4" max="4" width="10.1328125" style="211" bestFit="1" customWidth="1"/>
    <col min="5" max="5" width="12.265625" style="211" bestFit="1" customWidth="1"/>
    <col min="6" max="6" width="14.1328125" style="211" customWidth="1"/>
    <col min="7" max="7" width="8.73046875" style="211" customWidth="1"/>
    <col min="8" max="8" width="8.86328125" style="212" customWidth="1"/>
    <col min="9" max="9" width="13.3984375" style="211" customWidth="1"/>
    <col min="10" max="16384" width="9" style="211"/>
  </cols>
  <sheetData>
    <row r="1" spans="1:9" ht="15.95" customHeight="1">
      <c r="A1" s="524" t="str">
        <f>IF(språk=lista[[#Headers],[Svenska]],"Innehåll",IF(språk=lista[[#Headers],[English]],"Contents","FEL"))</f>
        <v>Contents</v>
      </c>
    </row>
    <row r="2" spans="1:9" ht="15.95" customHeight="1"/>
    <row r="3" spans="1:9" ht="15.95" customHeight="1">
      <c r="A3" s="643" t="str">
        <f>IFERROR(INDEX(lista[],MATCH($A5,lista[ID],0),MATCH(språk,lista[#Headers],0)),"")</f>
        <v xml:space="preserve">Petroleum product exports, from 1983, TWh </v>
      </c>
      <c r="B3" s="643"/>
      <c r="C3" s="643"/>
      <c r="D3" s="643"/>
      <c r="E3" s="643"/>
      <c r="F3" s="643"/>
      <c r="G3" s="643"/>
      <c r="H3" s="643"/>
      <c r="I3" s="210"/>
    </row>
    <row r="4" spans="1:9" s="279" customFormat="1" ht="15.95" customHeight="1">
      <c r="A4" s="400"/>
      <c r="H4" s="280"/>
    </row>
    <row r="5" spans="1:9" s="279" customFormat="1" ht="15.95" hidden="1" customHeight="1">
      <c r="A5" s="276">
        <v>70</v>
      </c>
      <c r="B5" s="279" t="s">
        <v>647</v>
      </c>
      <c r="C5" s="279" t="s">
        <v>648</v>
      </c>
      <c r="D5" s="279" t="s">
        <v>649</v>
      </c>
      <c r="E5" s="279" t="s">
        <v>650</v>
      </c>
      <c r="F5" s="279" t="s">
        <v>651</v>
      </c>
      <c r="G5" s="279" t="s">
        <v>652</v>
      </c>
      <c r="H5" s="280"/>
    </row>
    <row r="6" spans="1:9" s="526" customFormat="1" ht="26.25">
      <c r="A6" s="525"/>
      <c r="B6" s="205" t="str">
        <f>IFERROR(INDEX(_9.5[],MATCH(språk,_9.5[[id]:[id]],0),MATCH(B$5,_9.5[#Headers],0)),"")</f>
        <v>LPG</v>
      </c>
      <c r="C6" s="205" t="str">
        <f>IFERROR(INDEX(_9.5[],MATCH(språk,_9.5[[id]:[id]],0),MATCH(C$5,_9.5[#Headers],0)),"")</f>
        <v>Petrol</v>
      </c>
      <c r="D6" s="205" t="str">
        <f>IFERROR(INDEX(_9.5[],MATCH(språk,_9.5[[id]:[id]],0),MATCH(D$5,_9.5[#Headers],0)),"")</f>
        <v>Light distillates</v>
      </c>
      <c r="E6" s="205" t="str">
        <f>IFERROR(INDEX(_9.5[],MATCH(språk,_9.5[[id]:[id]],0),MATCH(E$5,_9.5[#Headers],0)),"")</f>
        <v>Diesel and light heating oil</v>
      </c>
      <c r="F6" s="205" t="str">
        <f>IFERROR(INDEX(_9.5[],MATCH(språk,_9.5[[id]:[id]],0),MATCH(F$5,_9.5[#Headers],0)),"")</f>
        <v>Heavy fuel oil</v>
      </c>
      <c r="G6" s="205" t="str">
        <f>IFERROR(INDEX(_9.5[],MATCH(språk,_9.5[[id]:[id]],0),MATCH(G$5,_9.5[#Headers],0)),"")</f>
        <v>Other</v>
      </c>
      <c r="H6" s="235" t="str">
        <f>IF(språk=lista[[#Headers],[Svenska]],"Totalt",IF(språk=lista[[#Headers],[English]],"Total","FEL"))</f>
        <v>Total</v>
      </c>
    </row>
    <row r="7" spans="1:9" ht="15.95" customHeight="1">
      <c r="A7" s="213">
        <v>1983</v>
      </c>
      <c r="B7" s="214">
        <v>0.11527777777777778</v>
      </c>
      <c r="C7" s="214">
        <v>6.3063888888888888</v>
      </c>
      <c r="D7" s="214">
        <v>2.8494444444444444</v>
      </c>
      <c r="E7" s="214">
        <v>28.697500000000002</v>
      </c>
      <c r="F7" s="214">
        <v>37.206666666666663</v>
      </c>
      <c r="G7" s="214">
        <v>1.0941666666666667</v>
      </c>
      <c r="H7" s="215">
        <v>76.269444444444446</v>
      </c>
      <c r="I7" s="258"/>
    </row>
    <row r="8" spans="1:9" ht="15.95" customHeight="1">
      <c r="A8" s="822">
        <v>1984</v>
      </c>
      <c r="B8" s="828">
        <v>0.5755555555555556</v>
      </c>
      <c r="C8" s="828">
        <v>8.6875</v>
      </c>
      <c r="D8" s="828">
        <v>2.8433333333333333</v>
      </c>
      <c r="E8" s="828">
        <v>29.310555555555556</v>
      </c>
      <c r="F8" s="828">
        <v>27.15861111111111</v>
      </c>
      <c r="G8" s="828">
        <v>2.1997222222222224</v>
      </c>
      <c r="H8" s="829">
        <v>70.775277777777774</v>
      </c>
      <c r="I8" s="258"/>
    </row>
    <row r="9" spans="1:9" ht="15.95" customHeight="1">
      <c r="A9" s="213">
        <v>1985</v>
      </c>
      <c r="B9" s="214">
        <v>0.57583333333333331</v>
      </c>
      <c r="C9" s="214">
        <v>7.466388888888889</v>
      </c>
      <c r="D9" s="214">
        <v>3.0266666666666668</v>
      </c>
      <c r="E9" s="214">
        <v>26.008611111111112</v>
      </c>
      <c r="F9" s="214">
        <v>17.218888888888888</v>
      </c>
      <c r="G9" s="214">
        <v>3.5033333333333334</v>
      </c>
      <c r="H9" s="215">
        <v>57.799722222222215</v>
      </c>
      <c r="I9" s="258"/>
    </row>
    <row r="10" spans="1:9" ht="15.95" customHeight="1">
      <c r="A10" s="822">
        <v>1986</v>
      </c>
      <c r="B10" s="828">
        <v>0.94666666666666666</v>
      </c>
      <c r="C10" s="828">
        <v>6.9691666666666663</v>
      </c>
      <c r="D10" s="828">
        <v>2.1541666666666668</v>
      </c>
      <c r="E10" s="828">
        <v>22.252222222222223</v>
      </c>
      <c r="F10" s="828">
        <v>18.689722222222223</v>
      </c>
      <c r="G10" s="828">
        <v>3.4797222222222222</v>
      </c>
      <c r="H10" s="829">
        <v>54.491666666666667</v>
      </c>
      <c r="I10" s="258"/>
    </row>
    <row r="11" spans="1:9" ht="15.95" customHeight="1">
      <c r="A11" s="213">
        <v>1987</v>
      </c>
      <c r="B11" s="214">
        <v>0.56277777777777782</v>
      </c>
      <c r="C11" s="214">
        <v>12.193888888888889</v>
      </c>
      <c r="D11" s="214">
        <v>3.0658333333333334</v>
      </c>
      <c r="E11" s="214">
        <v>32.562777777777775</v>
      </c>
      <c r="F11" s="214">
        <v>21.848333333333333</v>
      </c>
      <c r="G11" s="214">
        <v>3.5030555555555556</v>
      </c>
      <c r="H11" s="215">
        <v>73.736666666666665</v>
      </c>
      <c r="I11" s="258"/>
    </row>
    <row r="12" spans="1:9" ht="15.95" customHeight="1">
      <c r="A12" s="822">
        <v>1988</v>
      </c>
      <c r="B12" s="828">
        <v>0.29444444444444445</v>
      </c>
      <c r="C12" s="828">
        <v>8.9405555555555551</v>
      </c>
      <c r="D12" s="828">
        <v>3.2922222222222222</v>
      </c>
      <c r="E12" s="828">
        <v>26.166944444444443</v>
      </c>
      <c r="F12" s="828">
        <v>27.753611111111113</v>
      </c>
      <c r="G12" s="828">
        <v>3.1074999999999999</v>
      </c>
      <c r="H12" s="829">
        <v>69.555277777777775</v>
      </c>
      <c r="I12" s="258"/>
    </row>
    <row r="13" spans="1:9" ht="15.95" customHeight="1">
      <c r="A13" s="213">
        <v>1989</v>
      </c>
      <c r="B13" s="214">
        <v>0.38388888888888889</v>
      </c>
      <c r="C13" s="214">
        <v>10.876944444444444</v>
      </c>
      <c r="D13" s="214">
        <v>1.5544444444444445</v>
      </c>
      <c r="E13" s="214">
        <v>36.042499999999997</v>
      </c>
      <c r="F13" s="214">
        <v>35.421944444444442</v>
      </c>
      <c r="G13" s="214">
        <v>3.2122222222222221</v>
      </c>
      <c r="H13" s="215">
        <v>87.491944444444428</v>
      </c>
      <c r="I13" s="258"/>
    </row>
    <row r="14" spans="1:9" ht="15.95" customHeight="1">
      <c r="A14" s="822">
        <v>1990</v>
      </c>
      <c r="B14" s="828">
        <v>0.44777777777777777</v>
      </c>
      <c r="C14" s="828">
        <v>12.691111111111111</v>
      </c>
      <c r="D14" s="828">
        <v>2.089722222222222</v>
      </c>
      <c r="E14" s="828">
        <v>34.381666666666668</v>
      </c>
      <c r="F14" s="828">
        <v>38.71</v>
      </c>
      <c r="G14" s="828">
        <v>3.3169444444444443</v>
      </c>
      <c r="H14" s="829">
        <v>91.637222222222235</v>
      </c>
      <c r="I14" s="258"/>
    </row>
    <row r="15" spans="1:9" ht="15.95" customHeight="1">
      <c r="A15" s="213">
        <v>1991</v>
      </c>
      <c r="B15" s="214">
        <v>0.93388888888888888</v>
      </c>
      <c r="C15" s="214">
        <v>15.778888888888888</v>
      </c>
      <c r="D15" s="214">
        <v>1.3430555555555554</v>
      </c>
      <c r="E15" s="214">
        <v>32.305833333333332</v>
      </c>
      <c r="F15" s="214">
        <v>33.886111111111113</v>
      </c>
      <c r="G15" s="214">
        <v>3.6330555555555555</v>
      </c>
      <c r="H15" s="215">
        <v>87.880833333333328</v>
      </c>
      <c r="I15" s="258"/>
    </row>
    <row r="16" spans="1:9" ht="15.95" customHeight="1">
      <c r="A16" s="822">
        <v>1992</v>
      </c>
      <c r="B16" s="828">
        <v>1.3688888888888888</v>
      </c>
      <c r="C16" s="828">
        <v>20.611388888888889</v>
      </c>
      <c r="D16" s="828">
        <v>0.45805555555555555</v>
      </c>
      <c r="E16" s="828">
        <v>41.608055555555552</v>
      </c>
      <c r="F16" s="828">
        <v>35.389722222222225</v>
      </c>
      <c r="G16" s="828">
        <v>4.4072222222222219</v>
      </c>
      <c r="H16" s="829">
        <v>103.84333333333332</v>
      </c>
      <c r="I16" s="258"/>
    </row>
    <row r="17" spans="1:9" ht="15.95" customHeight="1">
      <c r="A17" s="213">
        <v>1993</v>
      </c>
      <c r="B17" s="214">
        <v>1.7655555555555555</v>
      </c>
      <c r="C17" s="214">
        <v>18.474166666666665</v>
      </c>
      <c r="D17" s="214">
        <v>0.15166666666666667</v>
      </c>
      <c r="E17" s="214">
        <v>46.669444444444444</v>
      </c>
      <c r="F17" s="214">
        <v>36.352222222222224</v>
      </c>
      <c r="G17" s="214">
        <v>5.2958333333333334</v>
      </c>
      <c r="H17" s="215">
        <v>108.70888888888889</v>
      </c>
      <c r="I17" s="258"/>
    </row>
    <row r="18" spans="1:9" ht="15.95" customHeight="1">
      <c r="A18" s="822">
        <v>1994</v>
      </c>
      <c r="B18" s="828">
        <v>1.4455555555555555</v>
      </c>
      <c r="C18" s="828">
        <v>20.715833333333332</v>
      </c>
      <c r="D18" s="828">
        <v>0.37305555555555553</v>
      </c>
      <c r="E18" s="828">
        <v>39.897777777777776</v>
      </c>
      <c r="F18" s="828">
        <v>35.335555555555558</v>
      </c>
      <c r="G18" s="828">
        <v>5.5633333333333335</v>
      </c>
      <c r="H18" s="829">
        <v>103.33111111111111</v>
      </c>
      <c r="I18" s="258"/>
    </row>
    <row r="19" spans="1:9" ht="15.95" customHeight="1">
      <c r="A19" s="213">
        <v>1995</v>
      </c>
      <c r="B19" s="214">
        <v>1.5480555555555555</v>
      </c>
      <c r="C19" s="214">
        <v>21.256666666666668</v>
      </c>
      <c r="D19" s="214">
        <v>1.1708333333333334</v>
      </c>
      <c r="E19" s="214">
        <v>42.082500000000003</v>
      </c>
      <c r="F19" s="214">
        <v>35.119166666666665</v>
      </c>
      <c r="G19" s="214">
        <v>6.400555555555556</v>
      </c>
      <c r="H19" s="215">
        <v>107.5777777777778</v>
      </c>
      <c r="I19" s="258"/>
    </row>
    <row r="20" spans="1:9" ht="15.95" customHeight="1">
      <c r="A20" s="822">
        <v>1996</v>
      </c>
      <c r="B20" s="828">
        <v>2.8655555555555554</v>
      </c>
      <c r="C20" s="828">
        <v>19.817499999999999</v>
      </c>
      <c r="D20" s="828">
        <v>2.0422222222222222</v>
      </c>
      <c r="E20" s="828">
        <v>40.619444444444447</v>
      </c>
      <c r="F20" s="828">
        <v>32.912777777777777</v>
      </c>
      <c r="G20" s="828">
        <v>7.0211111111111109</v>
      </c>
      <c r="H20" s="829">
        <v>105.27861111111112</v>
      </c>
      <c r="I20" s="258"/>
    </row>
    <row r="21" spans="1:9" ht="15.95" customHeight="1">
      <c r="A21" s="213">
        <v>1997</v>
      </c>
      <c r="B21" s="214">
        <v>2.9297222222222223</v>
      </c>
      <c r="C21" s="214">
        <v>25.068333333333332</v>
      </c>
      <c r="D21" s="214">
        <v>1.1052777777777778</v>
      </c>
      <c r="E21" s="214">
        <v>41.153333333333336</v>
      </c>
      <c r="F21" s="214">
        <v>39.575277777777778</v>
      </c>
      <c r="G21" s="214">
        <v>6.0219444444444443</v>
      </c>
      <c r="H21" s="215">
        <v>115.85388888888889</v>
      </c>
      <c r="I21" s="258"/>
    </row>
    <row r="22" spans="1:9" ht="15.95" customHeight="1">
      <c r="A22" s="822">
        <v>1998</v>
      </c>
      <c r="B22" s="828">
        <v>2.6225000000000001</v>
      </c>
      <c r="C22" s="828">
        <v>22.312222222222221</v>
      </c>
      <c r="D22" s="828">
        <v>1.2938888888888889</v>
      </c>
      <c r="E22" s="828">
        <v>37.634166666666665</v>
      </c>
      <c r="F22" s="828">
        <v>35.746388888888887</v>
      </c>
      <c r="G22" s="828">
        <v>5.6647222222222222</v>
      </c>
      <c r="H22" s="829">
        <v>105.27388888888889</v>
      </c>
      <c r="I22" s="258"/>
    </row>
    <row r="23" spans="1:9" ht="15.95" customHeight="1">
      <c r="A23" s="213">
        <v>1999</v>
      </c>
      <c r="B23" s="214">
        <v>2.4691666666666667</v>
      </c>
      <c r="C23" s="214">
        <v>24.309722222222224</v>
      </c>
      <c r="D23" s="214">
        <v>2.3211111111111111</v>
      </c>
      <c r="E23" s="214">
        <v>43.021666666666668</v>
      </c>
      <c r="F23" s="214">
        <v>33.085833333333333</v>
      </c>
      <c r="G23" s="214">
        <v>6.1336111111111107</v>
      </c>
      <c r="H23" s="215">
        <v>111.34111111111112</v>
      </c>
      <c r="I23" s="258"/>
    </row>
    <row r="24" spans="1:9" ht="15.95" customHeight="1">
      <c r="A24" s="822">
        <v>2000</v>
      </c>
      <c r="B24" s="828">
        <v>3.7466666666666666</v>
      </c>
      <c r="C24" s="828">
        <v>23.815555555555555</v>
      </c>
      <c r="D24" s="828">
        <v>4.8519444444444444</v>
      </c>
      <c r="E24" s="828">
        <v>45.271944444444443</v>
      </c>
      <c r="F24" s="828">
        <v>40.815555555555555</v>
      </c>
      <c r="G24" s="828">
        <v>4.841388888888889</v>
      </c>
      <c r="H24" s="829">
        <v>123.34305555555555</v>
      </c>
      <c r="I24" s="258"/>
    </row>
    <row r="25" spans="1:9" ht="15.95" customHeight="1">
      <c r="A25" s="213">
        <v>2001</v>
      </c>
      <c r="B25" s="214">
        <v>2.9538888888888888</v>
      </c>
      <c r="C25" s="214">
        <v>21.129166666666666</v>
      </c>
      <c r="D25" s="214">
        <v>4.0261111111111108</v>
      </c>
      <c r="E25" s="214">
        <v>44.725833333333334</v>
      </c>
      <c r="F25" s="214">
        <v>35.144722222222221</v>
      </c>
      <c r="G25" s="214">
        <v>4.7758333333333329</v>
      </c>
      <c r="H25" s="215">
        <v>112.75555555555556</v>
      </c>
      <c r="I25" s="258"/>
    </row>
    <row r="26" spans="1:9" ht="15.95" customHeight="1">
      <c r="A26" s="822">
        <v>2002</v>
      </c>
      <c r="B26" s="828">
        <v>4.2300000000000004</v>
      </c>
      <c r="C26" s="828">
        <v>19.638055555555557</v>
      </c>
      <c r="D26" s="828">
        <v>4.2577777777777781</v>
      </c>
      <c r="E26" s="828">
        <v>43.572222222222223</v>
      </c>
      <c r="F26" s="828">
        <v>31.616666666666667</v>
      </c>
      <c r="G26" s="828">
        <v>4.8741666666666665</v>
      </c>
      <c r="H26" s="829">
        <v>108.1888888888889</v>
      </c>
      <c r="I26" s="258"/>
    </row>
    <row r="27" spans="1:9" ht="15.95" customHeight="1">
      <c r="A27" s="213">
        <v>2003</v>
      </c>
      <c r="B27" s="214">
        <v>5.174722222222222</v>
      </c>
      <c r="C27" s="214">
        <v>23.99861111111111</v>
      </c>
      <c r="D27" s="214">
        <v>3.9113888888888888</v>
      </c>
      <c r="E27" s="214">
        <v>46.454166666666666</v>
      </c>
      <c r="F27" s="214">
        <v>33.233888888888892</v>
      </c>
      <c r="G27" s="214">
        <v>5.1133333333333333</v>
      </c>
      <c r="H27" s="215">
        <v>117.88611111111111</v>
      </c>
      <c r="I27" s="258"/>
    </row>
    <row r="28" spans="1:9" ht="15.95" customHeight="1">
      <c r="A28" s="822">
        <v>2004</v>
      </c>
      <c r="B28" s="828">
        <v>4.9458333333333337</v>
      </c>
      <c r="C28" s="828">
        <v>28.843333333333334</v>
      </c>
      <c r="D28" s="828">
        <v>4.2566666666666668</v>
      </c>
      <c r="E28" s="828">
        <v>52.500833333333333</v>
      </c>
      <c r="F28" s="828">
        <v>34.112222222222222</v>
      </c>
      <c r="G28" s="828">
        <v>5.2786111111111111</v>
      </c>
      <c r="H28" s="829">
        <v>129.9375</v>
      </c>
      <c r="I28" s="258"/>
    </row>
    <row r="29" spans="1:9" ht="15.95" customHeight="1">
      <c r="A29" s="213">
        <v>2005</v>
      </c>
      <c r="B29" s="214">
        <v>5.1138888888888889</v>
      </c>
      <c r="C29" s="214">
        <v>23.424722222222222</v>
      </c>
      <c r="D29" s="214">
        <v>3.3147222222222221</v>
      </c>
      <c r="E29" s="214">
        <v>46.584722222222226</v>
      </c>
      <c r="F29" s="214">
        <v>35.085555555555558</v>
      </c>
      <c r="G29" s="214">
        <v>5.7672222222222222</v>
      </c>
      <c r="H29" s="215">
        <v>119.29083333333334</v>
      </c>
      <c r="I29" s="258"/>
    </row>
    <row r="30" spans="1:9" ht="15.95" customHeight="1">
      <c r="A30" s="822">
        <v>2006</v>
      </c>
      <c r="B30" s="828">
        <v>4.1805555555555554</v>
      </c>
      <c r="C30" s="828">
        <v>26.843333333333334</v>
      </c>
      <c r="D30" s="828">
        <v>2.8844444444444446</v>
      </c>
      <c r="E30" s="828">
        <v>50.831666666666663</v>
      </c>
      <c r="F30" s="828">
        <v>37.271666666666668</v>
      </c>
      <c r="G30" s="828">
        <v>5.8224999999999998</v>
      </c>
      <c r="H30" s="829">
        <v>127.83416666666669</v>
      </c>
      <c r="I30" s="258"/>
    </row>
    <row r="31" spans="1:9" ht="15.95" customHeight="1">
      <c r="A31" s="213">
        <v>2007</v>
      </c>
      <c r="B31" s="214">
        <v>4.5061111111111112</v>
      </c>
      <c r="C31" s="214">
        <v>23.428888888888888</v>
      </c>
      <c r="D31" s="214">
        <v>3.0794444444444444</v>
      </c>
      <c r="E31" s="214">
        <v>47.345555555555556</v>
      </c>
      <c r="F31" s="214">
        <v>35.453055555555558</v>
      </c>
      <c r="G31" s="214">
        <v>5.318888888888889</v>
      </c>
      <c r="H31" s="215">
        <v>119.13194444444446</v>
      </c>
      <c r="I31" s="258"/>
    </row>
    <row r="32" spans="1:9" ht="15.95" customHeight="1">
      <c r="A32" s="822">
        <v>2008</v>
      </c>
      <c r="B32" s="828">
        <v>4.8363888888888891</v>
      </c>
      <c r="C32" s="828">
        <v>32.87972222222222</v>
      </c>
      <c r="D32" s="828">
        <v>3.7541666666666669</v>
      </c>
      <c r="E32" s="828">
        <v>60.484999999999999</v>
      </c>
      <c r="F32" s="828">
        <v>34.666666666666664</v>
      </c>
      <c r="G32" s="828">
        <v>4.8655555555555559</v>
      </c>
      <c r="H32" s="829">
        <v>141.48749999999998</v>
      </c>
      <c r="I32" s="258"/>
    </row>
    <row r="33" spans="1:9" ht="15.95" customHeight="1">
      <c r="A33" s="213">
        <v>2009</v>
      </c>
      <c r="B33" s="214">
        <v>5.1574999999999998</v>
      </c>
      <c r="C33" s="214">
        <v>31.060555555555556</v>
      </c>
      <c r="D33" s="214">
        <v>3.5919444444444446</v>
      </c>
      <c r="E33" s="214">
        <v>59.457500000000003</v>
      </c>
      <c r="F33" s="214">
        <v>29.526666666666667</v>
      </c>
      <c r="G33" s="214">
        <v>10.131944444444445</v>
      </c>
      <c r="H33" s="215">
        <v>138.92611111111114</v>
      </c>
      <c r="I33" s="258"/>
    </row>
    <row r="34" spans="1:9" ht="15.95" customHeight="1">
      <c r="A34" s="822">
        <v>2010</v>
      </c>
      <c r="B34" s="828">
        <v>5.4433333333333334</v>
      </c>
      <c r="C34" s="828">
        <v>25.87</v>
      </c>
      <c r="D34" s="828">
        <v>3.1727777777777777</v>
      </c>
      <c r="E34" s="828">
        <v>55.18611111111111</v>
      </c>
      <c r="F34" s="828">
        <v>42.099722222222219</v>
      </c>
      <c r="G34" s="828">
        <v>10.1875</v>
      </c>
      <c r="H34" s="829">
        <v>141.95944444444444</v>
      </c>
      <c r="I34" s="258"/>
    </row>
    <row r="35" spans="1:9" ht="15.95" customHeight="1">
      <c r="A35" s="213">
        <v>2011</v>
      </c>
      <c r="B35" s="214">
        <v>3.2561111111111112</v>
      </c>
      <c r="C35" s="214">
        <v>28.221944444444443</v>
      </c>
      <c r="D35" s="214">
        <v>3.3997222222222221</v>
      </c>
      <c r="E35" s="214">
        <v>47.424444444444447</v>
      </c>
      <c r="F35" s="214">
        <v>38.166111111111114</v>
      </c>
      <c r="G35" s="214">
        <v>9.7491666666666674</v>
      </c>
      <c r="H35" s="215">
        <v>130.2175</v>
      </c>
      <c r="I35" s="258"/>
    </row>
    <row r="36" spans="1:9" ht="15.95" customHeight="1">
      <c r="A36" s="822">
        <v>2012</v>
      </c>
      <c r="B36" s="828">
        <v>7.3041666666666663</v>
      </c>
      <c r="C36" s="828">
        <v>34.335555555555558</v>
      </c>
      <c r="D36" s="828">
        <v>3.4202777777777778</v>
      </c>
      <c r="E36" s="828">
        <v>61.404444444444444</v>
      </c>
      <c r="F36" s="828">
        <v>37.417777777777779</v>
      </c>
      <c r="G36" s="828">
        <v>9.5705555555555559</v>
      </c>
      <c r="H36" s="829">
        <v>153.45277777777778</v>
      </c>
      <c r="I36" s="258"/>
    </row>
    <row r="37" spans="1:9" ht="15.95" customHeight="1">
      <c r="A37" s="213">
        <v>2013</v>
      </c>
      <c r="B37" s="214">
        <v>3.9363888888888887</v>
      </c>
      <c r="C37" s="214">
        <v>23.679444444444446</v>
      </c>
      <c r="D37" s="214">
        <v>3.1105555555555555</v>
      </c>
      <c r="E37" s="214">
        <v>43.080277777777781</v>
      </c>
      <c r="F37" s="214">
        <v>27.229166666666668</v>
      </c>
      <c r="G37" s="214">
        <v>10.915277777777778</v>
      </c>
      <c r="H37" s="215">
        <v>111.95111111111112</v>
      </c>
      <c r="I37" s="258"/>
    </row>
    <row r="38" spans="1:9" ht="15.95" customHeight="1">
      <c r="A38" s="822">
        <v>2014</v>
      </c>
      <c r="B38" s="828">
        <v>4.9550000000000001</v>
      </c>
      <c r="C38" s="828">
        <v>42.692777777777778</v>
      </c>
      <c r="D38" s="828">
        <v>0.70638888888888884</v>
      </c>
      <c r="E38" s="828">
        <v>58.1175</v>
      </c>
      <c r="F38" s="828">
        <v>20.991666666666667</v>
      </c>
      <c r="G38" s="828">
        <v>12.951111111111111</v>
      </c>
      <c r="H38" s="829">
        <v>140.41444444444446</v>
      </c>
      <c r="I38" s="258"/>
    </row>
    <row r="39" spans="1:9" ht="15.95" customHeight="1">
      <c r="A39" s="213">
        <v>2015</v>
      </c>
      <c r="B39" s="214">
        <v>7.2558333333333334</v>
      </c>
      <c r="C39" s="214">
        <v>46.840277777777779</v>
      </c>
      <c r="D39" s="214">
        <v>2.7777777777777778E-4</v>
      </c>
      <c r="E39" s="214">
        <v>66.873055555555553</v>
      </c>
      <c r="F39" s="214">
        <v>33.278055555555554</v>
      </c>
      <c r="G39" s="214">
        <v>13.86888888888889</v>
      </c>
      <c r="H39" s="215">
        <v>168.11638888888888</v>
      </c>
      <c r="I39" s="258"/>
    </row>
    <row r="40" spans="1:9" ht="15.95" customHeight="1">
      <c r="A40" s="213"/>
      <c r="B40" s="214"/>
      <c r="C40" s="214"/>
      <c r="D40" s="214"/>
      <c r="E40" s="214"/>
      <c r="F40" s="214"/>
      <c r="G40" s="214"/>
      <c r="H40" s="215"/>
    </row>
    <row r="41" spans="1:9" ht="15.95" customHeight="1">
      <c r="A41"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6" tint="0.39997558519241921"/>
  </sheetPr>
  <dimension ref="A1:I58"/>
  <sheetViews>
    <sheetView zoomScaleNormal="100" workbookViewId="0">
      <pane ySplit="6" topLeftCell="A7" activePane="bottomLeft" state="frozen"/>
      <selection pane="bottomLeft" activeCell="B1" sqref="B1"/>
    </sheetView>
  </sheetViews>
  <sheetFormatPr defaultColWidth="8.86328125" defaultRowHeight="13.15"/>
  <cols>
    <col min="1" max="1" width="11.3984375" style="318" customWidth="1"/>
    <col min="2" max="2" width="16.1328125" style="32" customWidth="1"/>
    <col min="3" max="3" width="14.86328125" style="32" customWidth="1"/>
    <col min="4" max="4" width="15.265625" style="32" customWidth="1"/>
    <col min="5" max="5" width="18.86328125" style="32" customWidth="1"/>
    <col min="6" max="6" width="12.3984375" style="32" customWidth="1"/>
    <col min="7" max="7" width="13.73046875" style="32" customWidth="1"/>
    <col min="8" max="8" width="10.73046875" style="32" customWidth="1"/>
    <col min="9" max="16384" width="8.86328125" style="4"/>
  </cols>
  <sheetData>
    <row r="1" spans="1:9" ht="15.95" customHeight="1">
      <c r="A1" s="524" t="str">
        <f>IF(språk=lista[[#Headers],[Svenska]],"Innehåll",IF(språk=lista[[#Headers],[English]],"Contents","FEL"))</f>
        <v>Contents</v>
      </c>
    </row>
    <row r="2" spans="1:9" ht="15.95" customHeight="1"/>
    <row r="3" spans="1:9" ht="15.95" customHeight="1">
      <c r="A3" s="1049" t="str">
        <f>IFERROR(INDEX(lista[],MATCH($A5,lista[ID],0),MATCH(språk,lista[#Headers],0)),"")</f>
        <v>Total energy use, by final energy, losses etc., from 1970, TWh</v>
      </c>
      <c r="B3" s="1049"/>
      <c r="C3" s="1049"/>
      <c r="D3" s="1049"/>
      <c r="E3" s="1049"/>
      <c r="F3" s="1049"/>
      <c r="G3" s="1049"/>
    </row>
    <row r="4" spans="1:9" ht="15.95" customHeight="1">
      <c r="A4" s="31"/>
    </row>
    <row r="5" spans="1:9" ht="15.95" hidden="1" customHeight="1">
      <c r="A5" s="31">
        <v>9</v>
      </c>
      <c r="B5" s="32" t="s">
        <v>647</v>
      </c>
      <c r="C5" s="32" t="s">
        <v>648</v>
      </c>
      <c r="D5" s="32" t="s">
        <v>649</v>
      </c>
      <c r="E5" s="32" t="s">
        <v>650</v>
      </c>
      <c r="F5" s="32" t="s">
        <v>651</v>
      </c>
    </row>
    <row r="6" spans="1:9" ht="39" customHeight="1">
      <c r="A6" s="33"/>
      <c r="B6" s="34" t="str">
        <f>IFERROR(INDEX(_1.3[],MATCH(språk,_1.3[[id]:[id]],0),MATCH(B$5,_1.3[#Headers],0)),"")</f>
        <v>Final energy use</v>
      </c>
      <c r="C6" s="34" t="str">
        <f>IFERROR(INDEX(_1.3[],MATCH(språk,_1.3[[id]:[id]],0),MATCH(C$5,_1.3[#Headers],0)),"")</f>
        <v>Energy sector own use</v>
      </c>
      <c r="D6" s="34" t="str">
        <f>IFERROR(INDEX(_1.3[],MATCH(språk,_1.3[[id]:[id]],0),MATCH(D$5,_1.3[#Headers],0)),"")</f>
        <v>Non-energy use</v>
      </c>
      <c r="E6" s="34" t="str">
        <f>IFERROR(INDEX(_1.3[],MATCH(språk,_1.3[[id]:[id]],0),MATCH(E$5,_1.3[#Headers],0)),"")</f>
        <v>Transformation and distribution losses, excl. nuclear power</v>
      </c>
      <c r="F6" s="34" t="str">
        <f>IFERROR(INDEX(_1.3[],MATCH(språk,_1.3[[id]:[id]],0),MATCH(F$5,_1.3[#Headers],0)),"")</f>
        <v>Nuclear power losses</v>
      </c>
      <c r="G6" s="35" t="str">
        <f>IF(språk=lista[[#Headers],[Svenska]],"Totalt",IF(språk=lista[[#Headers],[English]],"Total","FEL"))</f>
        <v>Total</v>
      </c>
      <c r="H6" s="538"/>
    </row>
    <row r="7" spans="1:9" ht="15.95" customHeight="1">
      <c r="A7" s="744">
        <v>1970</v>
      </c>
      <c r="B7" s="745">
        <v>375</v>
      </c>
      <c r="C7" s="745">
        <v>0</v>
      </c>
      <c r="D7" s="745">
        <v>19.100000000000001</v>
      </c>
      <c r="E7" s="745">
        <v>49</v>
      </c>
      <c r="F7" s="745">
        <v>0</v>
      </c>
      <c r="G7" s="746">
        <v>443.1</v>
      </c>
      <c r="H7" s="536"/>
    </row>
    <row r="8" spans="1:9" ht="15.95" customHeight="1">
      <c r="A8" s="36">
        <v>1971</v>
      </c>
      <c r="B8" s="37">
        <v>366</v>
      </c>
      <c r="C8" s="37">
        <v>0</v>
      </c>
      <c r="D8" s="37">
        <v>18.3</v>
      </c>
      <c r="E8" s="37">
        <v>37</v>
      </c>
      <c r="F8" s="37">
        <v>0</v>
      </c>
      <c r="G8" s="38">
        <v>421.3</v>
      </c>
      <c r="H8" s="38"/>
      <c r="I8" s="318"/>
    </row>
    <row r="9" spans="1:9" ht="15.95" customHeight="1">
      <c r="A9" s="744">
        <v>1972</v>
      </c>
      <c r="B9" s="745">
        <v>371</v>
      </c>
      <c r="C9" s="745">
        <v>0</v>
      </c>
      <c r="D9" s="745">
        <v>18.399999999999999</v>
      </c>
      <c r="E9" s="745">
        <v>40</v>
      </c>
      <c r="F9" s="745">
        <v>4</v>
      </c>
      <c r="G9" s="746">
        <v>433.4</v>
      </c>
      <c r="H9" s="536"/>
    </row>
    <row r="10" spans="1:9" ht="15.95" customHeight="1">
      <c r="A10" s="36">
        <v>1973</v>
      </c>
      <c r="B10" s="37">
        <v>391</v>
      </c>
      <c r="C10" s="37">
        <v>0</v>
      </c>
      <c r="D10" s="37">
        <v>18.7</v>
      </c>
      <c r="E10" s="37">
        <v>43</v>
      </c>
      <c r="F10" s="37">
        <v>4</v>
      </c>
      <c r="G10" s="38">
        <v>456.7</v>
      </c>
      <c r="H10" s="38"/>
    </row>
    <row r="11" spans="1:9" ht="15.95" customHeight="1">
      <c r="A11" s="744">
        <v>1974</v>
      </c>
      <c r="B11" s="745">
        <v>362</v>
      </c>
      <c r="C11" s="745">
        <v>0</v>
      </c>
      <c r="D11" s="745">
        <v>17.8</v>
      </c>
      <c r="E11" s="745">
        <v>39</v>
      </c>
      <c r="F11" s="745">
        <v>4</v>
      </c>
      <c r="G11" s="746">
        <v>422.8</v>
      </c>
      <c r="H11" s="536"/>
    </row>
    <row r="12" spans="1:9" ht="15.95" customHeight="1">
      <c r="A12" s="36">
        <v>1975</v>
      </c>
      <c r="B12" s="37">
        <v>374</v>
      </c>
      <c r="C12" s="37">
        <v>0</v>
      </c>
      <c r="D12" s="37">
        <v>21</v>
      </c>
      <c r="E12" s="37">
        <v>31</v>
      </c>
      <c r="F12" s="37">
        <v>24</v>
      </c>
      <c r="G12" s="38">
        <v>450</v>
      </c>
      <c r="H12" s="38"/>
    </row>
    <row r="13" spans="1:9" ht="15.95" customHeight="1">
      <c r="A13" s="744">
        <v>1976</v>
      </c>
      <c r="B13" s="745">
        <v>392</v>
      </c>
      <c r="C13" s="745">
        <v>0</v>
      </c>
      <c r="D13" s="745">
        <v>18.2</v>
      </c>
      <c r="E13" s="745">
        <v>45</v>
      </c>
      <c r="F13" s="745">
        <v>32</v>
      </c>
      <c r="G13" s="746">
        <v>487.2</v>
      </c>
      <c r="H13" s="536"/>
    </row>
    <row r="14" spans="1:9" ht="15.95" customHeight="1">
      <c r="A14" s="36">
        <v>1977</v>
      </c>
      <c r="B14" s="37">
        <v>381</v>
      </c>
      <c r="C14" s="37">
        <v>0</v>
      </c>
      <c r="D14" s="37">
        <v>19.899999999999999</v>
      </c>
      <c r="E14" s="37">
        <v>43</v>
      </c>
      <c r="F14" s="37">
        <v>40</v>
      </c>
      <c r="G14" s="38">
        <v>483.9</v>
      </c>
      <c r="H14" s="38"/>
    </row>
    <row r="15" spans="1:9" ht="15.95" customHeight="1">
      <c r="A15" s="744">
        <v>1978</v>
      </c>
      <c r="B15" s="745">
        <v>388</v>
      </c>
      <c r="C15" s="745">
        <v>0</v>
      </c>
      <c r="D15" s="745">
        <v>20.2</v>
      </c>
      <c r="E15" s="745">
        <v>33</v>
      </c>
      <c r="F15" s="745">
        <v>47</v>
      </c>
      <c r="G15" s="746">
        <v>488.2</v>
      </c>
      <c r="H15" s="536"/>
    </row>
    <row r="16" spans="1:9" ht="15.95" customHeight="1">
      <c r="A16" s="36">
        <v>1979</v>
      </c>
      <c r="B16" s="37">
        <v>401</v>
      </c>
      <c r="C16" s="37">
        <v>0</v>
      </c>
      <c r="D16" s="37">
        <v>17.7</v>
      </c>
      <c r="E16" s="37">
        <v>39</v>
      </c>
      <c r="F16" s="37">
        <v>42</v>
      </c>
      <c r="G16" s="38">
        <v>499.7</v>
      </c>
      <c r="H16" s="38"/>
    </row>
    <row r="17" spans="1:8" ht="15.95" customHeight="1">
      <c r="A17" s="744">
        <v>1980</v>
      </c>
      <c r="B17" s="745">
        <v>381</v>
      </c>
      <c r="C17" s="745">
        <v>0</v>
      </c>
      <c r="D17" s="745">
        <v>15</v>
      </c>
      <c r="E17" s="745">
        <v>31</v>
      </c>
      <c r="F17" s="745">
        <v>53</v>
      </c>
      <c r="G17" s="746">
        <v>480</v>
      </c>
      <c r="H17" s="536"/>
    </row>
    <row r="18" spans="1:8" ht="15.95" customHeight="1">
      <c r="A18" s="36">
        <v>1981</v>
      </c>
      <c r="B18" s="37">
        <v>367</v>
      </c>
      <c r="C18" s="37">
        <v>0</v>
      </c>
      <c r="D18" s="37">
        <v>16.399999999999999</v>
      </c>
      <c r="E18" s="37">
        <v>37</v>
      </c>
      <c r="F18" s="37">
        <v>74</v>
      </c>
      <c r="G18" s="38">
        <v>494.4</v>
      </c>
      <c r="H18" s="38"/>
    </row>
    <row r="19" spans="1:8" ht="15.95" customHeight="1">
      <c r="A19" s="744">
        <v>1982</v>
      </c>
      <c r="B19" s="745">
        <v>349</v>
      </c>
      <c r="C19" s="745">
        <v>0</v>
      </c>
      <c r="D19" s="745">
        <v>18.5</v>
      </c>
      <c r="E19" s="745">
        <v>32</v>
      </c>
      <c r="F19" s="745">
        <v>79</v>
      </c>
      <c r="G19" s="746">
        <v>478.5</v>
      </c>
      <c r="H19" s="536"/>
    </row>
    <row r="20" spans="1:8" ht="15.95" customHeight="1">
      <c r="A20" s="36">
        <v>1983</v>
      </c>
      <c r="B20" s="37">
        <v>345.33893666666665</v>
      </c>
      <c r="C20" s="37">
        <v>9.0099444444444448</v>
      </c>
      <c r="D20" s="37">
        <v>18.727777777777778</v>
      </c>
      <c r="E20" s="37">
        <v>23.141833333333341</v>
      </c>
      <c r="F20" s="37">
        <v>82.622900000000016</v>
      </c>
      <c r="G20" s="38">
        <v>478.84139222222223</v>
      </c>
      <c r="H20" s="38"/>
    </row>
    <row r="21" spans="1:8" ht="15.95" customHeight="1">
      <c r="A21" s="744">
        <v>1984</v>
      </c>
      <c r="B21" s="745">
        <v>354.87913444444439</v>
      </c>
      <c r="C21" s="745">
        <v>9.4657777777777774</v>
      </c>
      <c r="D21" s="745">
        <v>18.989999999999998</v>
      </c>
      <c r="E21" s="745">
        <v>24.792944444444451</v>
      </c>
      <c r="F21" s="745">
        <v>100.57801000000001</v>
      </c>
      <c r="G21" s="746">
        <v>508.70586666666662</v>
      </c>
      <c r="H21" s="536"/>
    </row>
    <row r="22" spans="1:8" ht="15.95" customHeight="1">
      <c r="A22" s="36">
        <v>1985</v>
      </c>
      <c r="B22" s="37">
        <v>376.17605777777777</v>
      </c>
      <c r="C22" s="37">
        <v>11.123111111111111</v>
      </c>
      <c r="D22" s="37">
        <v>16.409166666666668</v>
      </c>
      <c r="E22" s="37">
        <v>28.767388888888878</v>
      </c>
      <c r="F22" s="37">
        <v>114.22591</v>
      </c>
      <c r="G22" s="38">
        <v>546.70163444444438</v>
      </c>
      <c r="H22" s="38"/>
    </row>
    <row r="23" spans="1:8" ht="15.95" customHeight="1">
      <c r="A23" s="744">
        <v>1986</v>
      </c>
      <c r="B23" s="745">
        <v>372.73667444444447</v>
      </c>
      <c r="C23" s="745">
        <v>12.776833333333332</v>
      </c>
      <c r="D23" s="745">
        <v>20.413888888888891</v>
      </c>
      <c r="E23" s="745">
        <v>28.917555555555563</v>
      </c>
      <c r="F23" s="745">
        <v>132.21329</v>
      </c>
      <c r="G23" s="746">
        <v>567.05824222222225</v>
      </c>
      <c r="H23" s="536"/>
    </row>
    <row r="24" spans="1:8" ht="15.95" customHeight="1">
      <c r="A24" s="36">
        <v>1987</v>
      </c>
      <c r="B24" s="37">
        <v>385.13144444444447</v>
      </c>
      <c r="C24" s="37">
        <v>13.942611111111111</v>
      </c>
      <c r="D24" s="37">
        <v>19.747499999999999</v>
      </c>
      <c r="E24" s="37">
        <v>26.431611111111124</v>
      </c>
      <c r="F24" s="37">
        <v>132.45329000000001</v>
      </c>
      <c r="G24" s="38">
        <v>577.70645666666667</v>
      </c>
      <c r="H24" s="38"/>
    </row>
    <row r="25" spans="1:8" ht="15.95" customHeight="1">
      <c r="A25" s="744">
        <v>1988</v>
      </c>
      <c r="B25" s="745">
        <v>382.32108555555556</v>
      </c>
      <c r="C25" s="745">
        <v>13.109222222222222</v>
      </c>
      <c r="D25" s="745">
        <v>20.415555555555553</v>
      </c>
      <c r="E25" s="745">
        <v>26.482666666666656</v>
      </c>
      <c r="F25" s="745">
        <v>137.24110000000002</v>
      </c>
      <c r="G25" s="746">
        <v>579.56962999999996</v>
      </c>
      <c r="H25" s="536"/>
    </row>
    <row r="26" spans="1:8" ht="15.95" customHeight="1">
      <c r="A26" s="36">
        <v>1989</v>
      </c>
      <c r="B26" s="37">
        <v>375.7475277777778</v>
      </c>
      <c r="C26" s="37">
        <v>13.092222222222222</v>
      </c>
      <c r="D26" s="37">
        <v>19.006388888888889</v>
      </c>
      <c r="E26" s="37">
        <v>23.870166666666627</v>
      </c>
      <c r="F26" s="37">
        <v>130.71140000000003</v>
      </c>
      <c r="G26" s="38">
        <v>562.42770555555558</v>
      </c>
      <c r="H26" s="38"/>
    </row>
    <row r="27" spans="1:8" ht="15.95" customHeight="1">
      <c r="A27" s="744">
        <v>1990</v>
      </c>
      <c r="B27" s="745">
        <v>366.61272885200322</v>
      </c>
      <c r="C27" s="745">
        <v>14.150111111111109</v>
      </c>
      <c r="D27" s="745">
        <v>23.376666666666669</v>
      </c>
      <c r="E27" s="745">
        <v>22.707777777777753</v>
      </c>
      <c r="F27" s="745">
        <v>134.21189000000001</v>
      </c>
      <c r="G27" s="746">
        <v>561.05917440755877</v>
      </c>
      <c r="H27" s="536"/>
    </row>
    <row r="28" spans="1:8" ht="15.95" customHeight="1">
      <c r="A28" s="36">
        <v>1991</v>
      </c>
      <c r="B28" s="37">
        <v>367.17827146420882</v>
      </c>
      <c r="C28" s="37">
        <v>14.413666666666666</v>
      </c>
      <c r="D28" s="37">
        <v>18.400833333333331</v>
      </c>
      <c r="E28" s="37">
        <v>23.527833333333344</v>
      </c>
      <c r="F28" s="37">
        <v>151.68709000000001</v>
      </c>
      <c r="G28" s="38">
        <v>575.2076947975421</v>
      </c>
      <c r="H28" s="38"/>
    </row>
    <row r="29" spans="1:8" ht="15.95" customHeight="1">
      <c r="A29" s="744">
        <v>1992</v>
      </c>
      <c r="B29" s="745">
        <v>361.86867920309771</v>
      </c>
      <c r="C29" s="745">
        <v>15.838611111111112</v>
      </c>
      <c r="D29" s="745">
        <v>19.933888888888887</v>
      </c>
      <c r="E29" s="745">
        <v>21.254000000000001</v>
      </c>
      <c r="F29" s="745">
        <v>124.73407</v>
      </c>
      <c r="G29" s="746">
        <v>543.62924920309774</v>
      </c>
      <c r="H29" s="536"/>
    </row>
    <row r="30" spans="1:8" ht="15.95" customHeight="1">
      <c r="A30" s="36">
        <v>1993</v>
      </c>
      <c r="B30" s="37">
        <v>365.30940426093719</v>
      </c>
      <c r="C30" s="37">
        <v>15.777444444444443</v>
      </c>
      <c r="D30" s="37">
        <v>19.326944444444443</v>
      </c>
      <c r="E30" s="37">
        <v>20.1035</v>
      </c>
      <c r="F30" s="37">
        <v>120.78895000000001</v>
      </c>
      <c r="G30" s="38">
        <v>541.30624314982606</v>
      </c>
      <c r="H30" s="38"/>
    </row>
    <row r="31" spans="1:8" ht="15.95" customHeight="1">
      <c r="A31" s="744">
        <v>1994</v>
      </c>
      <c r="B31" s="745">
        <v>371.66483577123671</v>
      </c>
      <c r="C31" s="745">
        <v>15.899333333333335</v>
      </c>
      <c r="D31" s="745">
        <v>20.032499999999999</v>
      </c>
      <c r="E31" s="745">
        <v>27.852444444444465</v>
      </c>
      <c r="F31" s="745">
        <v>144.19707</v>
      </c>
      <c r="G31" s="746">
        <v>579.64618354901449</v>
      </c>
      <c r="H31" s="536"/>
    </row>
    <row r="32" spans="1:8" ht="15.95" customHeight="1">
      <c r="A32" s="36">
        <v>1995</v>
      </c>
      <c r="B32" s="37">
        <v>379.49579599768526</v>
      </c>
      <c r="C32" s="37">
        <v>15.91688888888889</v>
      </c>
      <c r="D32" s="37">
        <v>21.078055555555554</v>
      </c>
      <c r="E32" s="37">
        <v>26.228222222222218</v>
      </c>
      <c r="F32" s="37">
        <v>137.38138000000001</v>
      </c>
      <c r="G32" s="38">
        <v>580.10034266435196</v>
      </c>
      <c r="H32" s="38"/>
    </row>
    <row r="33" spans="1:8" ht="15.95" customHeight="1">
      <c r="A33" s="744">
        <v>1996</v>
      </c>
      <c r="B33" s="745">
        <v>387.30933307883373</v>
      </c>
      <c r="C33" s="745">
        <v>15.978555555555555</v>
      </c>
      <c r="D33" s="745">
        <v>20.121111111111112</v>
      </c>
      <c r="E33" s="745">
        <v>34.4315</v>
      </c>
      <c r="F33" s="745">
        <v>150.17337000000003</v>
      </c>
      <c r="G33" s="746">
        <v>608.01386974550041</v>
      </c>
      <c r="H33" s="536"/>
    </row>
    <row r="34" spans="1:8" ht="15.95" customHeight="1">
      <c r="A34" s="36">
        <v>1997</v>
      </c>
      <c r="B34" s="37">
        <v>382.36422059600437</v>
      </c>
      <c r="C34" s="37">
        <v>15.95361111111111</v>
      </c>
      <c r="D34" s="37">
        <v>21.932500000000001</v>
      </c>
      <c r="E34" s="37">
        <v>26.163222222222249</v>
      </c>
      <c r="F34" s="37">
        <v>136.05093000000002</v>
      </c>
      <c r="G34" s="38">
        <v>582.4644839293378</v>
      </c>
      <c r="H34" s="38"/>
    </row>
    <row r="35" spans="1:8" ht="15.95" customHeight="1">
      <c r="A35" s="744">
        <v>1998</v>
      </c>
      <c r="B35" s="745">
        <v>385.32203706187119</v>
      </c>
      <c r="C35" s="745">
        <v>16.764722222222222</v>
      </c>
      <c r="D35" s="745">
        <v>22.973333333333333</v>
      </c>
      <c r="E35" s="745">
        <v>30.056333333333342</v>
      </c>
      <c r="F35" s="745">
        <v>144.46787000000003</v>
      </c>
      <c r="G35" s="746">
        <v>599.58429595076018</v>
      </c>
      <c r="H35" s="536"/>
    </row>
    <row r="36" spans="1:8" ht="15.95" customHeight="1">
      <c r="A36" s="36">
        <v>1999</v>
      </c>
      <c r="B36" s="37">
        <v>384.32509229881492</v>
      </c>
      <c r="C36" s="37">
        <v>16.48</v>
      </c>
      <c r="D36" s="37">
        <v>18.325833333333335</v>
      </c>
      <c r="E36" s="37">
        <v>25.825833333333343</v>
      </c>
      <c r="F36" s="37">
        <v>140.18761000000001</v>
      </c>
      <c r="G36" s="38">
        <v>585.14436896548159</v>
      </c>
      <c r="H36" s="38"/>
    </row>
    <row r="37" spans="1:8" ht="15.95" customHeight="1">
      <c r="A37" s="744">
        <v>2000</v>
      </c>
      <c r="B37" s="745">
        <v>381.01160882501489</v>
      </c>
      <c r="C37" s="745">
        <v>10.240500000000001</v>
      </c>
      <c r="D37" s="745">
        <v>21.144999999999996</v>
      </c>
      <c r="E37" s="745">
        <v>32.624000000000002</v>
      </c>
      <c r="F37" s="745">
        <v>110.99336000000001</v>
      </c>
      <c r="G37" s="746">
        <v>556.01446882501489</v>
      </c>
      <c r="H37" s="536"/>
    </row>
    <row r="38" spans="1:8" ht="15.95" customHeight="1">
      <c r="A38" s="36">
        <v>2001</v>
      </c>
      <c r="B38" s="37">
        <v>388.15939452234517</v>
      </c>
      <c r="C38" s="37">
        <v>10.603</v>
      </c>
      <c r="D38" s="37">
        <v>26.331666666666663</v>
      </c>
      <c r="E38" s="37">
        <v>34.29722146666667</v>
      </c>
      <c r="F38" s="37">
        <v>141.96441000000002</v>
      </c>
      <c r="G38" s="38">
        <v>601.35569265567847</v>
      </c>
      <c r="H38" s="38"/>
    </row>
    <row r="39" spans="1:8" ht="15.95" customHeight="1">
      <c r="A39" s="744">
        <v>2002</v>
      </c>
      <c r="B39" s="745">
        <v>393.04715759022474</v>
      </c>
      <c r="C39" s="745">
        <v>9.873555555555555</v>
      </c>
      <c r="D39" s="745">
        <v>25.928888888888892</v>
      </c>
      <c r="E39" s="745">
        <v>39.821514666666658</v>
      </c>
      <c r="F39" s="745">
        <v>132.58790999999999</v>
      </c>
      <c r="G39" s="746">
        <v>601.25902670133576</v>
      </c>
      <c r="H39" s="536"/>
    </row>
    <row r="40" spans="1:8" ht="15.95" customHeight="1">
      <c r="A40" s="36">
        <v>2003</v>
      </c>
      <c r="B40" s="37">
        <v>398.0384733516525</v>
      </c>
      <c r="C40" s="37">
        <v>9.5377222222222233</v>
      </c>
      <c r="D40" s="37">
        <v>23.434166666666666</v>
      </c>
      <c r="E40" s="37">
        <v>38.07142588782223</v>
      </c>
      <c r="F40" s="37">
        <v>132.22558000000001</v>
      </c>
      <c r="G40" s="38">
        <v>601.30736812836358</v>
      </c>
      <c r="H40" s="38"/>
    </row>
    <row r="41" spans="1:8" ht="15.95" customHeight="1">
      <c r="A41" s="744">
        <v>2004</v>
      </c>
      <c r="B41" s="745">
        <v>397.97040898297462</v>
      </c>
      <c r="C41" s="745">
        <v>10.611666666666666</v>
      </c>
      <c r="D41" s="745">
        <v>25.864166666666669</v>
      </c>
      <c r="E41" s="745">
        <v>34.979713731377764</v>
      </c>
      <c r="F41" s="745">
        <v>149.39312000000001</v>
      </c>
      <c r="G41" s="746">
        <v>618.81907604768571</v>
      </c>
      <c r="H41" s="536"/>
    </row>
    <row r="42" spans="1:8" ht="15.95" customHeight="1">
      <c r="A42" s="36">
        <v>2005</v>
      </c>
      <c r="B42" s="37">
        <v>394.51125995555554</v>
      </c>
      <c r="C42" s="37">
        <v>11.107222222222223</v>
      </c>
      <c r="D42" s="37">
        <v>37.145277777777778</v>
      </c>
      <c r="E42" s="37">
        <v>32.735833333333346</v>
      </c>
      <c r="F42" s="37">
        <v>136.92944444444444</v>
      </c>
      <c r="G42" s="38">
        <v>612.4290377333333</v>
      </c>
      <c r="H42" s="38"/>
    </row>
    <row r="43" spans="1:8" ht="15.95" customHeight="1">
      <c r="A43" s="744">
        <v>2006</v>
      </c>
      <c r="B43" s="745">
        <v>392.93893408888886</v>
      </c>
      <c r="C43" s="745">
        <v>10.219444444444445</v>
      </c>
      <c r="D43" s="745">
        <v>38.146944444444443</v>
      </c>
      <c r="E43" s="745">
        <v>33.028055555555532</v>
      </c>
      <c r="F43" s="745">
        <v>126.87</v>
      </c>
      <c r="G43" s="746">
        <v>601.20337853333331</v>
      </c>
      <c r="H43" s="536"/>
    </row>
    <row r="44" spans="1:8" ht="15.95" customHeight="1">
      <c r="A44" s="36">
        <v>2007</v>
      </c>
      <c r="B44" s="37">
        <v>396.13931421111113</v>
      </c>
      <c r="C44" s="37">
        <v>10.708611111111111</v>
      </c>
      <c r="D44" s="37">
        <v>38.763333333333335</v>
      </c>
      <c r="E44" s="37">
        <v>31.635555555555548</v>
      </c>
      <c r="F44" s="37">
        <v>124.43166666666667</v>
      </c>
      <c r="G44" s="38">
        <v>601.6784808777777</v>
      </c>
      <c r="H44" s="38"/>
    </row>
    <row r="45" spans="1:8" ht="15.95" customHeight="1">
      <c r="A45" s="747">
        <v>2008</v>
      </c>
      <c r="B45" s="748">
        <v>385.54672244444453</v>
      </c>
      <c r="C45" s="748">
        <v>10.410277777777777</v>
      </c>
      <c r="D45" s="748">
        <v>38.475000000000001</v>
      </c>
      <c r="E45" s="748">
        <v>26.786666666666701</v>
      </c>
      <c r="F45" s="748">
        <v>119.71916666666667</v>
      </c>
      <c r="G45" s="749">
        <v>580.9378335555557</v>
      </c>
      <c r="H45" s="537"/>
    </row>
    <row r="46" spans="1:8" ht="15.95" customHeight="1">
      <c r="A46" s="39">
        <v>2009</v>
      </c>
      <c r="B46" s="40">
        <v>370.79305555555561</v>
      </c>
      <c r="C46" s="40">
        <v>9.7766666666666673</v>
      </c>
      <c r="D46" s="40">
        <v>31.386944444444445</v>
      </c>
      <c r="E46" s="40">
        <v>20.574999999999999</v>
      </c>
      <c r="F46" s="40">
        <v>97.25555555555556</v>
      </c>
      <c r="G46" s="238">
        <v>529.78722222222223</v>
      </c>
      <c r="H46" s="238"/>
    </row>
    <row r="47" spans="1:8" ht="15.95" customHeight="1">
      <c r="A47" s="747">
        <v>2010</v>
      </c>
      <c r="B47" s="748">
        <v>395.33666666666664</v>
      </c>
      <c r="C47" s="748">
        <v>10.350555555555555</v>
      </c>
      <c r="D47" s="748">
        <v>33.31722222222222</v>
      </c>
      <c r="E47" s="748">
        <v>35.208055555555532</v>
      </c>
      <c r="F47" s="748">
        <v>108.71916666666665</v>
      </c>
      <c r="G47" s="749">
        <v>582.93166666666662</v>
      </c>
      <c r="H47" s="537"/>
    </row>
    <row r="48" spans="1:8" ht="15.95" customHeight="1">
      <c r="A48" s="41">
        <v>2011</v>
      </c>
      <c r="B48" s="240">
        <v>379.88055555555559</v>
      </c>
      <c r="C48" s="240">
        <v>10.476944444444445</v>
      </c>
      <c r="D48" s="240">
        <v>30.911388888888887</v>
      </c>
      <c r="E48" s="240">
        <v>21.387222222222221</v>
      </c>
      <c r="F48" s="240">
        <v>110.64972222222222</v>
      </c>
      <c r="G48" s="308">
        <v>553.30583333333334</v>
      </c>
      <c r="H48" s="308"/>
    </row>
    <row r="49" spans="1:8" s="200" customFormat="1" ht="15.95" customHeight="1">
      <c r="A49" s="750">
        <v>2012</v>
      </c>
      <c r="B49" s="751">
        <v>377.6919444444444</v>
      </c>
      <c r="C49" s="751">
        <v>10.941944444444443</v>
      </c>
      <c r="D49" s="751">
        <v>30.851111111111109</v>
      </c>
      <c r="E49" s="751">
        <v>24.177222222222277</v>
      </c>
      <c r="F49" s="751">
        <v>123.4663888888889</v>
      </c>
      <c r="G49" s="752">
        <v>567.12861111111113</v>
      </c>
      <c r="H49" s="308"/>
    </row>
    <row r="50" spans="1:8" ht="15.95" customHeight="1">
      <c r="A50" s="41">
        <v>2013</v>
      </c>
      <c r="B50" s="240">
        <v>375.31777777777774</v>
      </c>
      <c r="C50" s="240">
        <v>10.524722222222223</v>
      </c>
      <c r="D50" s="240">
        <v>31.651388888888889</v>
      </c>
      <c r="E50" s="240">
        <v>18.703055555555519</v>
      </c>
      <c r="F50" s="240">
        <v>122.71527777777777</v>
      </c>
      <c r="G50" s="308">
        <v>558.91222222222223</v>
      </c>
      <c r="H50" s="308"/>
    </row>
    <row r="51" spans="1:8" s="200" customFormat="1" ht="15.95" customHeight="1">
      <c r="A51" s="750">
        <v>2014</v>
      </c>
      <c r="B51" s="751">
        <v>368.12555555555548</v>
      </c>
      <c r="C51" s="751">
        <v>10.33</v>
      </c>
      <c r="D51" s="751">
        <v>36.096388888888882</v>
      </c>
      <c r="E51" s="751">
        <v>22.995833333333344</v>
      </c>
      <c r="F51" s="751">
        <v>116.88166666666669</v>
      </c>
      <c r="G51" s="752">
        <v>554.42944444444436</v>
      </c>
      <c r="H51" s="308"/>
    </row>
    <row r="52" spans="1:8" ht="15.95" customHeight="1">
      <c r="A52" s="41">
        <v>2015</v>
      </c>
      <c r="B52" s="240">
        <v>370.27361111111111</v>
      </c>
      <c r="C52" s="240">
        <v>9.1069444444444461</v>
      </c>
      <c r="D52" s="240">
        <v>35.078055555555558</v>
      </c>
      <c r="E52" s="240">
        <v>26.616944444444453</v>
      </c>
      <c r="F52" s="240">
        <v>99.002500000000012</v>
      </c>
      <c r="G52" s="308">
        <v>540.07805555555558</v>
      </c>
      <c r="H52" s="308"/>
    </row>
    <row r="53" spans="1:8" ht="15.95" customHeight="1">
      <c r="B53" s="43"/>
      <c r="C53" s="43"/>
      <c r="D53" s="43"/>
      <c r="E53" s="43"/>
      <c r="F53" s="43"/>
      <c r="G53" s="43"/>
      <c r="H53" s="43"/>
    </row>
    <row r="54" spans="1:8" ht="15.95" customHeight="1">
      <c r="A54" s="26" t="s">
        <v>27</v>
      </c>
      <c r="D54" s="307"/>
    </row>
    <row r="55" spans="1:8" ht="15.95" customHeight="1">
      <c r="A55" s="448" t="s">
        <v>482</v>
      </c>
    </row>
    <row r="56" spans="1:8">
      <c r="A56" s="448" t="s">
        <v>525</v>
      </c>
    </row>
    <row r="57" spans="1:8">
      <c r="A57" s="448" t="s">
        <v>483</v>
      </c>
    </row>
    <row r="58" spans="1:8">
      <c r="A58" s="448" t="s">
        <v>484</v>
      </c>
      <c r="B58" s="239"/>
      <c r="C58" s="239"/>
    </row>
  </sheetData>
  <mergeCells count="1">
    <mergeCell ref="A3:G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theme="6" tint="0.39997558519241921"/>
  </sheetPr>
  <dimension ref="A1:E52"/>
  <sheetViews>
    <sheetView zoomScaleNormal="100" zoomScalePageLayoutView="110" workbookViewId="0">
      <pane ySplit="6" topLeftCell="A7" activePane="bottomLeft" state="frozen"/>
      <selection pane="bottomLeft" activeCell="B1" sqref="B1"/>
    </sheetView>
  </sheetViews>
  <sheetFormatPr defaultColWidth="9" defaultRowHeight="13.15"/>
  <cols>
    <col min="1" max="1" width="8.73046875" style="203" customWidth="1"/>
    <col min="2" max="4" width="15" style="203" customWidth="1"/>
    <col min="5" max="5" width="32.265625" style="203" customWidth="1"/>
    <col min="6" max="16384" width="9" style="203"/>
  </cols>
  <sheetData>
    <row r="1" spans="1:5" ht="15.95" customHeight="1">
      <c r="A1" s="524" t="str">
        <f>IF(språk=lista[[#Headers],[Svenska]],"Innehåll",IF(språk=lista[[#Headers],[English]],"Contents","FEL"))</f>
        <v>Contents</v>
      </c>
    </row>
    <row r="2" spans="1:5" ht="15.95" customHeight="1"/>
    <row r="3" spans="1:5" ht="15.95" customHeight="1">
      <c r="A3" s="433" t="str">
        <f>IFERROR(INDEX(lista[],MATCH($A5,lista[ID],0),MATCH(språk,lista[#Headers],0)),"")</f>
        <v>Crude oil prices, from 1976, USD/barrel</v>
      </c>
      <c r="B3" s="433"/>
      <c r="C3" s="433"/>
      <c r="D3" s="433"/>
      <c r="E3" s="433"/>
    </row>
    <row r="4" spans="1:5" s="278" customFormat="1" ht="15.95" customHeight="1">
      <c r="A4" s="400"/>
      <c r="B4" s="277"/>
      <c r="C4" s="277"/>
      <c r="D4" s="277"/>
      <c r="E4" s="277"/>
    </row>
    <row r="5" spans="1:5" s="278" customFormat="1" ht="15.95" hidden="1" customHeight="1">
      <c r="A5" s="276">
        <v>71</v>
      </c>
      <c r="B5" s="277" t="s">
        <v>647</v>
      </c>
      <c r="C5" s="277" t="s">
        <v>648</v>
      </c>
      <c r="D5" s="277" t="s">
        <v>649</v>
      </c>
      <c r="E5" s="277"/>
    </row>
    <row r="6" spans="1:5" ht="15.95" customHeight="1">
      <c r="A6" s="204"/>
      <c r="B6" s="205" t="str">
        <f>IFERROR(INDEX(_9.6[],MATCH(språk,_9.6[[id]:[id]],0),MATCH(B$5,_9.6[#Headers],0)),"")</f>
        <v>Dubai</v>
      </c>
      <c r="C6" s="205" t="str">
        <f>IFERROR(INDEX(_9.6[],MATCH(språk,_9.6[[id]:[id]],0),MATCH(C$5,_9.6[#Headers],0)),"")</f>
        <v>Brent</v>
      </c>
      <c r="D6" s="205" t="str">
        <f>IFERROR(INDEX(_9.6[],MATCH(språk,_9.6[[id]:[id]],0),MATCH(D$5,_9.6[#Headers],0)),"")</f>
        <v>WTI</v>
      </c>
    </row>
    <row r="7" spans="1:5" ht="15.95" customHeight="1">
      <c r="A7" s="825">
        <v>1976</v>
      </c>
      <c r="B7" s="830">
        <v>11.63</v>
      </c>
      <c r="C7" s="830">
        <v>12.8</v>
      </c>
      <c r="D7" s="863">
        <v>12.23</v>
      </c>
    </row>
    <row r="8" spans="1:5" ht="15.95" customHeight="1">
      <c r="A8" s="206">
        <v>1977</v>
      </c>
      <c r="B8" s="572">
        <v>12.38</v>
      </c>
      <c r="C8" s="572">
        <v>13.92</v>
      </c>
      <c r="D8" s="573">
        <v>14.22</v>
      </c>
    </row>
    <row r="9" spans="1:5" ht="15.95" customHeight="1">
      <c r="A9" s="825">
        <v>1978</v>
      </c>
      <c r="B9" s="830">
        <v>13.03</v>
      </c>
      <c r="C9" s="830">
        <v>14.02</v>
      </c>
      <c r="D9" s="863">
        <v>14.55</v>
      </c>
    </row>
    <row r="10" spans="1:5" ht="15.95" customHeight="1">
      <c r="A10" s="206">
        <v>1979</v>
      </c>
      <c r="B10" s="572">
        <v>29.75</v>
      </c>
      <c r="C10" s="572">
        <v>31.61</v>
      </c>
      <c r="D10" s="573">
        <v>25.08</v>
      </c>
    </row>
    <row r="11" spans="1:5" ht="15.95" customHeight="1">
      <c r="A11" s="825">
        <v>1980</v>
      </c>
      <c r="B11" s="830">
        <v>35.69</v>
      </c>
      <c r="C11" s="830">
        <v>36.83</v>
      </c>
      <c r="D11" s="863">
        <v>37.96</v>
      </c>
    </row>
    <row r="12" spans="1:5" ht="15.95" customHeight="1">
      <c r="A12" s="206">
        <v>1981</v>
      </c>
      <c r="B12" s="572">
        <v>34.32</v>
      </c>
      <c r="C12" s="572">
        <v>35.93</v>
      </c>
      <c r="D12" s="573">
        <v>36.08</v>
      </c>
    </row>
    <row r="13" spans="1:5" ht="15.95" customHeight="1">
      <c r="A13" s="825">
        <v>1982</v>
      </c>
      <c r="B13" s="830">
        <v>31.8</v>
      </c>
      <c r="C13" s="830">
        <v>32.97</v>
      </c>
      <c r="D13" s="863">
        <v>33.65</v>
      </c>
    </row>
    <row r="14" spans="1:5" ht="15.95" customHeight="1">
      <c r="A14" s="206">
        <v>1983</v>
      </c>
      <c r="B14" s="572">
        <v>28.78</v>
      </c>
      <c r="C14" s="572">
        <v>29.55</v>
      </c>
      <c r="D14" s="573">
        <v>30.3</v>
      </c>
    </row>
    <row r="15" spans="1:5" ht="15.95" customHeight="1">
      <c r="A15" s="825">
        <v>1984</v>
      </c>
      <c r="B15" s="830">
        <v>28.06</v>
      </c>
      <c r="C15" s="830">
        <v>28.78</v>
      </c>
      <c r="D15" s="863">
        <v>29.39</v>
      </c>
    </row>
    <row r="16" spans="1:5" ht="15.95" customHeight="1">
      <c r="A16" s="206">
        <v>1985</v>
      </c>
      <c r="B16" s="572">
        <v>27.53</v>
      </c>
      <c r="C16" s="572">
        <v>27.56</v>
      </c>
      <c r="D16" s="573">
        <v>27.98</v>
      </c>
    </row>
    <row r="17" spans="1:4" ht="15.95" customHeight="1">
      <c r="A17" s="825">
        <v>1986</v>
      </c>
      <c r="B17" s="830">
        <v>13.1</v>
      </c>
      <c r="C17" s="830">
        <v>14.43</v>
      </c>
      <c r="D17" s="863">
        <v>15.1</v>
      </c>
    </row>
    <row r="18" spans="1:4" ht="15.95" customHeight="1">
      <c r="A18" s="206">
        <v>1987</v>
      </c>
      <c r="B18" s="572">
        <v>16.95</v>
      </c>
      <c r="C18" s="572">
        <v>18.440000000000001</v>
      </c>
      <c r="D18" s="573">
        <v>19.18</v>
      </c>
    </row>
    <row r="19" spans="1:4" ht="15.95" customHeight="1">
      <c r="A19" s="825">
        <v>1988</v>
      </c>
      <c r="B19" s="830">
        <v>13.27</v>
      </c>
      <c r="C19" s="830">
        <v>14.92</v>
      </c>
      <c r="D19" s="863">
        <v>15.97</v>
      </c>
    </row>
    <row r="20" spans="1:4" ht="15.95" customHeight="1">
      <c r="A20" s="206">
        <v>1989</v>
      </c>
      <c r="B20" s="572">
        <v>15.62</v>
      </c>
      <c r="C20" s="572">
        <v>18.23</v>
      </c>
      <c r="D20" s="573">
        <v>19.68</v>
      </c>
    </row>
    <row r="21" spans="1:4" ht="15.95" customHeight="1">
      <c r="A21" s="825">
        <v>1990</v>
      </c>
      <c r="B21" s="830">
        <v>20.45</v>
      </c>
      <c r="C21" s="830">
        <v>23.73</v>
      </c>
      <c r="D21" s="863">
        <v>24.5</v>
      </c>
    </row>
    <row r="22" spans="1:4" ht="15.95" customHeight="1">
      <c r="A22" s="206">
        <v>1991</v>
      </c>
      <c r="B22" s="572">
        <v>16.63</v>
      </c>
      <c r="C22" s="572">
        <v>20</v>
      </c>
      <c r="D22" s="573">
        <v>21.54</v>
      </c>
    </row>
    <row r="23" spans="1:4" ht="15.95" customHeight="1">
      <c r="A23" s="825">
        <v>1992</v>
      </c>
      <c r="B23" s="830">
        <v>17.170000000000002</v>
      </c>
      <c r="C23" s="830">
        <v>19.32</v>
      </c>
      <c r="D23" s="863">
        <v>20.57</v>
      </c>
    </row>
    <row r="24" spans="1:4" ht="15.95" customHeight="1">
      <c r="A24" s="206">
        <v>1993</v>
      </c>
      <c r="B24" s="572">
        <v>14.93</v>
      </c>
      <c r="C24" s="572">
        <v>16.97</v>
      </c>
      <c r="D24" s="573">
        <v>18.45</v>
      </c>
    </row>
    <row r="25" spans="1:4" ht="15.95" customHeight="1">
      <c r="A25" s="825">
        <v>1994</v>
      </c>
      <c r="B25" s="830">
        <v>14.74</v>
      </c>
      <c r="C25" s="830">
        <v>15.82</v>
      </c>
      <c r="D25" s="863">
        <v>17.21</v>
      </c>
    </row>
    <row r="26" spans="1:4" ht="15.95" customHeight="1">
      <c r="A26" s="206">
        <v>1995</v>
      </c>
      <c r="B26" s="572">
        <v>16.100000000000001</v>
      </c>
      <c r="C26" s="572">
        <v>17.02</v>
      </c>
      <c r="D26" s="573">
        <v>18.420000000000002</v>
      </c>
    </row>
    <row r="27" spans="1:4" ht="15.95" customHeight="1">
      <c r="A27" s="825">
        <v>1996</v>
      </c>
      <c r="B27" s="830">
        <v>18.52</v>
      </c>
      <c r="C27" s="830">
        <v>20.67</v>
      </c>
      <c r="D27" s="863">
        <v>22.16</v>
      </c>
    </row>
    <row r="28" spans="1:4" ht="15.95" customHeight="1">
      <c r="A28" s="206">
        <v>1997</v>
      </c>
      <c r="B28" s="572">
        <v>18.23</v>
      </c>
      <c r="C28" s="572">
        <v>19.09</v>
      </c>
      <c r="D28" s="573">
        <v>20.61</v>
      </c>
    </row>
    <row r="29" spans="1:4" ht="15.95" customHeight="1">
      <c r="A29" s="825">
        <v>1998</v>
      </c>
      <c r="B29" s="830">
        <v>12.21</v>
      </c>
      <c r="C29" s="830">
        <v>12.72</v>
      </c>
      <c r="D29" s="863">
        <v>14.39</v>
      </c>
    </row>
    <row r="30" spans="1:4" ht="15.95" customHeight="1">
      <c r="A30" s="206">
        <v>1999</v>
      </c>
      <c r="B30" s="572">
        <v>17.25</v>
      </c>
      <c r="C30" s="572">
        <v>17.97</v>
      </c>
      <c r="D30" s="573">
        <v>19.309999999999999</v>
      </c>
    </row>
    <row r="31" spans="1:4" ht="15.95" customHeight="1">
      <c r="A31" s="825">
        <v>2000</v>
      </c>
      <c r="B31" s="830">
        <v>26.2</v>
      </c>
      <c r="C31" s="830">
        <v>28.5</v>
      </c>
      <c r="D31" s="863">
        <v>30.37</v>
      </c>
    </row>
    <row r="32" spans="1:4" ht="15.95" customHeight="1">
      <c r="A32" s="206">
        <v>2001</v>
      </c>
      <c r="B32" s="572">
        <v>22.81</v>
      </c>
      <c r="C32" s="572">
        <v>24.44</v>
      </c>
      <c r="D32" s="573">
        <v>25.93</v>
      </c>
    </row>
    <row r="33" spans="1:4" ht="15.95" customHeight="1">
      <c r="A33" s="825">
        <v>2002</v>
      </c>
      <c r="B33" s="830">
        <v>23.74</v>
      </c>
      <c r="C33" s="830">
        <v>25.02</v>
      </c>
      <c r="D33" s="863">
        <v>26.16</v>
      </c>
    </row>
    <row r="34" spans="1:4" ht="15.95" customHeight="1">
      <c r="A34" s="206">
        <v>2003</v>
      </c>
      <c r="B34" s="572">
        <v>26.78</v>
      </c>
      <c r="C34" s="572">
        <v>28.83</v>
      </c>
      <c r="D34" s="573">
        <v>31.07</v>
      </c>
    </row>
    <row r="35" spans="1:4" ht="15.95" customHeight="1">
      <c r="A35" s="825">
        <v>2004</v>
      </c>
      <c r="B35" s="830">
        <v>33.64</v>
      </c>
      <c r="C35" s="830">
        <v>38.270000000000003</v>
      </c>
      <c r="D35" s="863">
        <v>41.49</v>
      </c>
    </row>
    <row r="36" spans="1:4" ht="15.95" customHeight="1">
      <c r="A36" s="206">
        <v>2005</v>
      </c>
      <c r="B36" s="572">
        <v>49.35</v>
      </c>
      <c r="C36" s="572">
        <v>54.52</v>
      </c>
      <c r="D36" s="573">
        <v>56.59</v>
      </c>
    </row>
    <row r="37" spans="1:4" ht="15.95" customHeight="1">
      <c r="A37" s="825">
        <v>2006</v>
      </c>
      <c r="B37" s="830">
        <v>61.5</v>
      </c>
      <c r="C37" s="830">
        <v>65.14</v>
      </c>
      <c r="D37" s="863">
        <v>66.02</v>
      </c>
    </row>
    <row r="38" spans="1:4" ht="15.95" customHeight="1">
      <c r="A38" s="206">
        <v>2007</v>
      </c>
      <c r="B38" s="572">
        <v>68.19</v>
      </c>
      <c r="C38" s="572">
        <v>72.39</v>
      </c>
      <c r="D38" s="573">
        <v>72.2</v>
      </c>
    </row>
    <row r="39" spans="1:4" ht="15.95" customHeight="1">
      <c r="A39" s="825">
        <v>2008</v>
      </c>
      <c r="B39" s="830">
        <v>94.34</v>
      </c>
      <c r="C39" s="830">
        <v>97.26</v>
      </c>
      <c r="D39" s="863">
        <v>100.06</v>
      </c>
    </row>
    <row r="40" spans="1:4" ht="15.95" customHeight="1">
      <c r="A40" s="206">
        <v>2009</v>
      </c>
      <c r="B40" s="572">
        <v>61.39</v>
      </c>
      <c r="C40" s="572">
        <v>61.67</v>
      </c>
      <c r="D40" s="573">
        <v>61.92</v>
      </c>
    </row>
    <row r="41" spans="1:4" ht="15.95" customHeight="1">
      <c r="A41" s="825">
        <v>2010</v>
      </c>
      <c r="B41" s="830">
        <v>78.06</v>
      </c>
      <c r="C41" s="830">
        <v>79.5</v>
      </c>
      <c r="D41" s="863">
        <v>79.45</v>
      </c>
    </row>
    <row r="42" spans="1:4" ht="15.95" customHeight="1">
      <c r="A42" s="206">
        <v>2011</v>
      </c>
      <c r="B42" s="572">
        <v>106.18</v>
      </c>
      <c r="C42" s="572">
        <v>111.26</v>
      </c>
      <c r="D42" s="573">
        <v>95.04</v>
      </c>
    </row>
    <row r="43" spans="1:4" ht="15.95" customHeight="1">
      <c r="A43" s="825">
        <v>2012</v>
      </c>
      <c r="B43" s="830">
        <v>109.08</v>
      </c>
      <c r="C43" s="830">
        <v>111.67</v>
      </c>
      <c r="D43" s="863">
        <v>94.13</v>
      </c>
    </row>
    <row r="44" spans="1:4" ht="15.95" customHeight="1">
      <c r="A44" s="206">
        <v>2013</v>
      </c>
      <c r="B44" s="572">
        <v>105.47</v>
      </c>
      <c r="C44" s="572">
        <v>108.66</v>
      </c>
      <c r="D44" s="573">
        <v>97.99</v>
      </c>
    </row>
    <row r="45" spans="1:4" ht="15.95" customHeight="1">
      <c r="A45" s="825">
        <v>2014</v>
      </c>
      <c r="B45" s="830">
        <v>97.07</v>
      </c>
      <c r="C45" s="830">
        <v>98.95</v>
      </c>
      <c r="D45" s="863">
        <v>93.28</v>
      </c>
    </row>
    <row r="46" spans="1:4" ht="15.95" customHeight="1">
      <c r="A46" s="646">
        <v>2015</v>
      </c>
      <c r="B46" s="572">
        <v>51.2</v>
      </c>
      <c r="C46" s="572">
        <v>52.39</v>
      </c>
      <c r="D46" s="573">
        <v>48.71</v>
      </c>
    </row>
    <row r="47" spans="1:4" ht="15.95" customHeight="1">
      <c r="A47" s="825">
        <v>2016</v>
      </c>
      <c r="B47" s="830">
        <v>41.19</v>
      </c>
      <c r="C47" s="830">
        <v>43.73</v>
      </c>
      <c r="D47" s="863">
        <v>43.34</v>
      </c>
    </row>
    <row r="48" spans="1:4" ht="15.95" customHeight="1">
      <c r="A48" s="646"/>
      <c r="B48" s="572"/>
      <c r="C48" s="572"/>
      <c r="D48" s="573"/>
    </row>
    <row r="49" spans="1:5" ht="15.95" customHeight="1">
      <c r="A49" s="208" t="s">
        <v>540</v>
      </c>
      <c r="B49" s="207"/>
      <c r="C49" s="207"/>
    </row>
    <row r="50" spans="1:5" ht="15.95" customHeight="1">
      <c r="A50" s="434"/>
      <c r="B50" s="434"/>
      <c r="C50" s="434"/>
      <c r="D50" s="434"/>
      <c r="E50" s="434"/>
    </row>
    <row r="51" spans="1:5" ht="15.95" customHeight="1">
      <c r="A51" s="434"/>
      <c r="B51" s="434"/>
      <c r="C51" s="434"/>
      <c r="D51" s="434"/>
      <c r="E51" s="434"/>
    </row>
    <row r="52" spans="1:5">
      <c r="A52" s="209"/>
      <c r="B52" s="209"/>
      <c r="C52" s="20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tabColor theme="0"/>
  </sheetPr>
  <dimension ref="A1:I41"/>
  <sheetViews>
    <sheetView zoomScaleNormal="100" workbookViewId="0">
      <pane ySplit="6" topLeftCell="A8" activePane="bottomLeft" state="frozen"/>
      <selection pane="bottomLeft" activeCell="C1" sqref="C1"/>
    </sheetView>
  </sheetViews>
  <sheetFormatPr defaultColWidth="9.1328125" defaultRowHeight="13.15"/>
  <cols>
    <col min="1" max="1" width="9.1328125" style="169"/>
    <col min="2" max="2" width="8.86328125" style="170" customWidth="1"/>
    <col min="3" max="3" width="10.86328125" style="170" bestFit="1" customWidth="1"/>
    <col min="4" max="4" width="11.265625" style="170" bestFit="1" customWidth="1"/>
    <col min="5" max="5" width="16.59765625" style="170" customWidth="1"/>
    <col min="6" max="6" width="14.59765625" style="170" customWidth="1"/>
    <col min="7" max="7" width="9.59765625" style="132" customWidth="1"/>
    <col min="8" max="16384" width="9.1328125" style="132"/>
  </cols>
  <sheetData>
    <row r="1" spans="1:9" ht="15.95" customHeight="1">
      <c r="A1" s="524" t="str">
        <f>IF(språk=lista[[#Headers],[Svenska]],"Innehåll",IF(språk=lista[[#Headers],[English]],"Contents","FEL"))</f>
        <v>Contents</v>
      </c>
    </row>
    <row r="2" spans="1:9" ht="15.95" customHeight="1"/>
    <row r="3" spans="1:9" ht="15.95" customHeight="1">
      <c r="A3" s="401" t="str">
        <f>IFERROR(INDEX(lista[],MATCH($A5,lista[ID],0),MATCH(språk,lista[#Headers],0)),"")</f>
        <v>Use of natural gas and gasworks gas, by sector, from 1983, TWh</v>
      </c>
      <c r="B3" s="401"/>
      <c r="C3" s="401"/>
      <c r="D3" s="401"/>
      <c r="E3" s="401"/>
      <c r="F3" s="401"/>
      <c r="G3" s="164"/>
      <c r="H3" s="164"/>
      <c r="I3" s="164"/>
    </row>
    <row r="4" spans="1:9" ht="15.95" customHeight="1">
      <c r="A4" s="401"/>
    </row>
    <row r="5" spans="1:9" ht="15.95" hidden="1" customHeight="1">
      <c r="A5" s="169">
        <v>73</v>
      </c>
      <c r="B5" s="170" t="s">
        <v>647</v>
      </c>
      <c r="C5" s="170" t="s">
        <v>648</v>
      </c>
      <c r="D5" s="170" t="s">
        <v>649</v>
      </c>
      <c r="E5" s="170" t="s">
        <v>650</v>
      </c>
      <c r="F5" s="170" t="s">
        <v>651</v>
      </c>
    </row>
    <row r="6" spans="1:9" ht="46.5" customHeight="1">
      <c r="A6" s="165"/>
      <c r="B6" s="980" t="str">
        <f>IFERROR(INDEX(_10.1[],MATCH(språk,_10.1[[id]:[id]],0),MATCH(B$5,_10.1[#Headers],0)),"")</f>
        <v>Industry</v>
      </c>
      <c r="C6" s="980" t="str">
        <f>IFERROR(INDEX(_10.1[],MATCH(språk,_10.1[[id]:[id]],0),MATCH(C$5,_10.1[#Headers],0)),"")</f>
        <v>Transport</v>
      </c>
      <c r="D6" s="980" t="str">
        <f>IFERROR(INDEX(_10.1[],MATCH(språk,_10.1[[id]:[id]],0),MATCH(D$5,_10.1[#Headers],0)),"")</f>
        <v>Residential and services</v>
      </c>
      <c r="E6" s="980" t="str">
        <f>IFERROR(INDEX(_10.1[],MATCH(språk,_10.1[[id]:[id]],0),MATCH(E$5,_10.1[#Headers],0)),"")</f>
        <v>Electricity, district heating etc.</v>
      </c>
      <c r="F6" s="980" t="str">
        <f>IFERROR(INDEX(_10.1[],MATCH(språk,_10.1[[id]:[id]],0),MATCH(F$5,_10.1[#Headers],0)),"")</f>
        <v>Non-energy use</v>
      </c>
      <c r="G6" s="235" t="str">
        <f>IF(språk=lista[[#Headers],[Svenska]],"Totalt",IF(språk=lista[[#Headers],[English]],"Total","FEL"))</f>
        <v>Total</v>
      </c>
    </row>
    <row r="7" spans="1:9" ht="15.95" customHeight="1">
      <c r="A7" s="819">
        <v>1983</v>
      </c>
      <c r="B7" s="831">
        <v>8.3888888888888888E-2</v>
      </c>
      <c r="C7" s="831">
        <v>0</v>
      </c>
      <c r="D7" s="831">
        <v>0.5675</v>
      </c>
      <c r="E7" s="831">
        <v>0</v>
      </c>
      <c r="F7" s="831"/>
      <c r="G7" s="832">
        <v>0.65138888888888891</v>
      </c>
    </row>
    <row r="8" spans="1:9" ht="15.95" customHeight="1">
      <c r="A8" s="166">
        <v>1984</v>
      </c>
      <c r="B8" s="167">
        <v>7.4444444444444438E-2</v>
      </c>
      <c r="C8" s="167">
        <v>0</v>
      </c>
      <c r="D8" s="167">
        <v>0.49305555555555552</v>
      </c>
      <c r="E8" s="167">
        <v>0</v>
      </c>
      <c r="F8" s="167"/>
      <c r="G8" s="599">
        <v>0.5675</v>
      </c>
    </row>
    <row r="9" spans="1:9" ht="15.95" customHeight="1">
      <c r="A9" s="819">
        <v>1985</v>
      </c>
      <c r="B9" s="831">
        <v>0.75944444444444448</v>
      </c>
      <c r="C9" s="831">
        <v>0</v>
      </c>
      <c r="D9" s="831">
        <v>0.54083333333333339</v>
      </c>
      <c r="E9" s="831">
        <v>8.638888888888889E-2</v>
      </c>
      <c r="F9" s="831"/>
      <c r="G9" s="832">
        <v>1.3866666666666667</v>
      </c>
    </row>
    <row r="10" spans="1:9" ht="15.95" customHeight="1">
      <c r="A10" s="166">
        <v>1986</v>
      </c>
      <c r="B10" s="167">
        <v>1.6836111111111112</v>
      </c>
      <c r="C10" s="167">
        <v>0</v>
      </c>
      <c r="D10" s="167">
        <v>0.74555555555555553</v>
      </c>
      <c r="E10" s="167">
        <v>0.36722222222222223</v>
      </c>
      <c r="F10" s="167"/>
      <c r="G10" s="599">
        <v>2.796388888888889</v>
      </c>
    </row>
    <row r="11" spans="1:9" ht="15.95" customHeight="1">
      <c r="A11" s="819">
        <v>1987</v>
      </c>
      <c r="B11" s="831">
        <v>1.9705555555555554</v>
      </c>
      <c r="C11" s="831">
        <v>0</v>
      </c>
      <c r="D11" s="831">
        <v>0.9786111111111111</v>
      </c>
      <c r="E11" s="831">
        <v>0.61555555555555552</v>
      </c>
      <c r="F11" s="831"/>
      <c r="G11" s="832">
        <v>3.5647222222222221</v>
      </c>
    </row>
    <row r="12" spans="1:9" ht="15.95" customHeight="1">
      <c r="A12" s="166">
        <v>1988</v>
      </c>
      <c r="B12" s="167">
        <v>2.328611111111111</v>
      </c>
      <c r="C12" s="167">
        <v>0</v>
      </c>
      <c r="D12" s="167">
        <v>1.0183333333333333</v>
      </c>
      <c r="E12" s="167">
        <v>1.0475000000000001</v>
      </c>
      <c r="F12" s="167"/>
      <c r="G12" s="599">
        <v>4.3944444444444448</v>
      </c>
    </row>
    <row r="13" spans="1:9" ht="15.95" customHeight="1">
      <c r="A13" s="819">
        <v>1989</v>
      </c>
      <c r="B13" s="831">
        <v>2.7619444444444445</v>
      </c>
      <c r="C13" s="831">
        <v>0</v>
      </c>
      <c r="D13" s="831">
        <v>1.1480555555555556</v>
      </c>
      <c r="E13" s="831">
        <v>1.7711111111111111</v>
      </c>
      <c r="F13" s="831"/>
      <c r="G13" s="832">
        <v>5.681111111111111</v>
      </c>
    </row>
    <row r="14" spans="1:9" ht="15.95" customHeight="1">
      <c r="A14" s="166">
        <v>1990</v>
      </c>
      <c r="B14" s="167">
        <v>3.1927777777777777</v>
      </c>
      <c r="C14" s="167">
        <v>0</v>
      </c>
      <c r="D14" s="167">
        <v>1.3033333333333332</v>
      </c>
      <c r="E14" s="167">
        <v>2.5377777777777779</v>
      </c>
      <c r="F14" s="167"/>
      <c r="G14" s="599">
        <v>7.0338888888888889</v>
      </c>
    </row>
    <row r="15" spans="1:9" ht="15.95" customHeight="1">
      <c r="A15" s="819">
        <v>1991</v>
      </c>
      <c r="B15" s="831">
        <v>3</v>
      </c>
      <c r="C15" s="831">
        <v>0</v>
      </c>
      <c r="D15" s="831">
        <v>1.5166666666666668</v>
      </c>
      <c r="E15" s="831">
        <v>3.056111111111111</v>
      </c>
      <c r="F15" s="831"/>
      <c r="G15" s="832">
        <v>7.5727777777777776</v>
      </c>
    </row>
    <row r="16" spans="1:9" ht="15.95" customHeight="1">
      <c r="A16" s="166">
        <v>1992</v>
      </c>
      <c r="B16" s="167">
        <v>3.1297222222222221</v>
      </c>
      <c r="C16" s="167">
        <v>1.0833333333333334E-2</v>
      </c>
      <c r="D16" s="167">
        <v>1.5552777777777778</v>
      </c>
      <c r="E16" s="167">
        <v>3.7475000000000001</v>
      </c>
      <c r="F16" s="167"/>
      <c r="G16" s="599">
        <v>8.4433333333333334</v>
      </c>
    </row>
    <row r="17" spans="1:7" ht="15.95" customHeight="1">
      <c r="A17" s="819">
        <v>1993</v>
      </c>
      <c r="B17" s="831">
        <v>2.763611111111111</v>
      </c>
      <c r="C17" s="831">
        <v>1.9444444444444441E-2</v>
      </c>
      <c r="D17" s="831">
        <v>1.6141666666666665</v>
      </c>
      <c r="E17" s="831">
        <v>3.9658333333333329</v>
      </c>
      <c r="F17" s="831"/>
      <c r="G17" s="832">
        <v>8.3630555555555546</v>
      </c>
    </row>
    <row r="18" spans="1:7" ht="15.95" customHeight="1">
      <c r="A18" s="166">
        <v>1994</v>
      </c>
      <c r="B18" s="167">
        <v>2.8169444444444443</v>
      </c>
      <c r="C18" s="167">
        <v>9.7222222222222206E-3</v>
      </c>
      <c r="D18" s="167">
        <v>1.5888888888888888</v>
      </c>
      <c r="E18" s="167">
        <v>3.9655555555555555</v>
      </c>
      <c r="F18" s="167"/>
      <c r="G18" s="599">
        <v>8.3811111111111103</v>
      </c>
    </row>
    <row r="19" spans="1:7" ht="15.95" customHeight="1">
      <c r="A19" s="819">
        <v>1995</v>
      </c>
      <c r="B19" s="831">
        <v>2.8883333333333336</v>
      </c>
      <c r="C19" s="831">
        <v>1.9444444444444441E-2</v>
      </c>
      <c r="D19" s="831">
        <v>1.776388888888889</v>
      </c>
      <c r="E19" s="831">
        <v>3.6549999999999998</v>
      </c>
      <c r="F19" s="831"/>
      <c r="G19" s="832">
        <v>8.3391666666666673</v>
      </c>
    </row>
    <row r="20" spans="1:7" ht="15.95" customHeight="1">
      <c r="A20" s="166">
        <v>1996</v>
      </c>
      <c r="B20" s="167">
        <v>3.1355555555555559</v>
      </c>
      <c r="C20" s="167">
        <v>3.8888888888888883E-2</v>
      </c>
      <c r="D20" s="167">
        <v>1.9202777777777775</v>
      </c>
      <c r="E20" s="167">
        <v>3.440833333333333</v>
      </c>
      <c r="F20" s="167"/>
      <c r="G20" s="599">
        <v>8.535555555555554</v>
      </c>
    </row>
    <row r="21" spans="1:7" ht="15.95" customHeight="1">
      <c r="A21" s="819">
        <v>1997</v>
      </c>
      <c r="B21" s="831">
        <v>3.1647222222222222</v>
      </c>
      <c r="C21" s="831">
        <v>7.7777777777777765E-2</v>
      </c>
      <c r="D21" s="831">
        <v>1.8183333333333334</v>
      </c>
      <c r="E21" s="831">
        <v>3.9075000000000002</v>
      </c>
      <c r="F21" s="831"/>
      <c r="G21" s="832">
        <v>8.9683333333333337</v>
      </c>
    </row>
    <row r="22" spans="1:7" ht="15.95" customHeight="1">
      <c r="A22" s="166">
        <v>1998</v>
      </c>
      <c r="B22" s="167">
        <v>3.2105555555555556</v>
      </c>
      <c r="C22" s="167">
        <v>3.8888888888888883E-2</v>
      </c>
      <c r="D22" s="167">
        <v>1.9580555555555554</v>
      </c>
      <c r="E22" s="167">
        <v>3.9269444444444441</v>
      </c>
      <c r="F22" s="167"/>
      <c r="G22" s="599">
        <v>9.1344444444444441</v>
      </c>
    </row>
    <row r="23" spans="1:7" ht="15.95" customHeight="1">
      <c r="A23" s="819">
        <v>1999</v>
      </c>
      <c r="B23" s="831">
        <v>3.5886111111111108</v>
      </c>
      <c r="C23" s="831">
        <v>3.0833333333333331E-2</v>
      </c>
      <c r="D23" s="831">
        <v>1.9847222222222223</v>
      </c>
      <c r="E23" s="831">
        <v>3.5269444444444442</v>
      </c>
      <c r="F23" s="831"/>
      <c r="G23" s="832">
        <v>9.1311111111111103</v>
      </c>
    </row>
    <row r="24" spans="1:7" ht="15.95" customHeight="1">
      <c r="A24" s="166">
        <v>2000</v>
      </c>
      <c r="B24" s="167">
        <v>3.4127777777777779</v>
      </c>
      <c r="C24" s="167">
        <v>0.11222222222222221</v>
      </c>
      <c r="D24" s="167">
        <v>1.8386111111111112</v>
      </c>
      <c r="E24" s="167">
        <v>2.887777777777778</v>
      </c>
      <c r="F24" s="167"/>
      <c r="G24" s="599">
        <v>8.25138888888889</v>
      </c>
    </row>
    <row r="25" spans="1:7" ht="15.95" customHeight="1">
      <c r="A25" s="819">
        <v>2001</v>
      </c>
      <c r="B25" s="831">
        <v>3.8361111111111108</v>
      </c>
      <c r="C25" s="831">
        <v>0.11388888888888889</v>
      </c>
      <c r="D25" s="831">
        <v>1.9875</v>
      </c>
      <c r="E25" s="831">
        <v>3.4211111111111108</v>
      </c>
      <c r="F25" s="831"/>
      <c r="G25" s="832">
        <v>9.3586111111111112</v>
      </c>
    </row>
    <row r="26" spans="1:7" ht="15.95" customHeight="1">
      <c r="A26" s="166">
        <v>2002</v>
      </c>
      <c r="B26" s="167">
        <v>3.5663888888888886</v>
      </c>
      <c r="C26" s="167">
        <v>0.13305555555555554</v>
      </c>
      <c r="D26" s="167">
        <v>2.1091666666666664</v>
      </c>
      <c r="E26" s="167">
        <v>3.7547222222222221</v>
      </c>
      <c r="F26" s="167"/>
      <c r="G26" s="599">
        <v>9.5633333333333326</v>
      </c>
    </row>
    <row r="27" spans="1:7" ht="15.95" customHeight="1">
      <c r="A27" s="819">
        <v>2003</v>
      </c>
      <c r="B27" s="831">
        <v>4.2552777777777777</v>
      </c>
      <c r="C27" s="831">
        <v>0.21472222222222223</v>
      </c>
      <c r="D27" s="831">
        <v>2.2349999999999999</v>
      </c>
      <c r="E27" s="831">
        <v>3.9333333333333331</v>
      </c>
      <c r="F27" s="831"/>
      <c r="G27" s="832">
        <v>10.638333333333334</v>
      </c>
    </row>
    <row r="28" spans="1:7" ht="15.95" customHeight="1">
      <c r="A28" s="166">
        <v>2004</v>
      </c>
      <c r="B28" s="167">
        <v>4.415</v>
      </c>
      <c r="C28" s="167">
        <v>0.22750000000000001</v>
      </c>
      <c r="D28" s="167">
        <v>2.2280555555555557</v>
      </c>
      <c r="E28" s="167">
        <v>3.4697222222222224</v>
      </c>
      <c r="F28" s="167"/>
      <c r="G28" s="599">
        <v>10.340277777777779</v>
      </c>
    </row>
    <row r="29" spans="1:7" ht="15.95" customHeight="1">
      <c r="A29" s="819">
        <v>2005</v>
      </c>
      <c r="B29" s="831">
        <v>3.305277777777778</v>
      </c>
      <c r="C29" s="831">
        <v>0.21</v>
      </c>
      <c r="D29" s="831">
        <v>1.9497222222222221</v>
      </c>
      <c r="E29" s="831">
        <v>3.0188888888888887</v>
      </c>
      <c r="F29" s="831"/>
      <c r="G29" s="832">
        <v>8.4838888888888881</v>
      </c>
    </row>
    <row r="30" spans="1:7" ht="15.95" customHeight="1">
      <c r="A30" s="166">
        <v>2006</v>
      </c>
      <c r="B30" s="167">
        <v>3.6933333333333329</v>
      </c>
      <c r="C30" s="167">
        <v>0.26527777777777778</v>
      </c>
      <c r="D30" s="167">
        <v>2.0947222222222224</v>
      </c>
      <c r="E30" s="167">
        <v>2.8647222222222224</v>
      </c>
      <c r="F30" s="167"/>
      <c r="G30" s="599">
        <v>8.9180555555555543</v>
      </c>
    </row>
    <row r="31" spans="1:7" ht="15.95" customHeight="1">
      <c r="A31" s="819">
        <v>2007</v>
      </c>
      <c r="B31" s="831">
        <v>3.5905555555555555</v>
      </c>
      <c r="C31" s="831">
        <v>0.27638888888888885</v>
      </c>
      <c r="D31" s="831">
        <v>2.1186111111111114</v>
      </c>
      <c r="E31" s="831">
        <v>3.8352777777777778</v>
      </c>
      <c r="F31" s="831"/>
      <c r="G31" s="832">
        <v>9.8208333333333329</v>
      </c>
    </row>
    <row r="32" spans="1:7" ht="15.95" customHeight="1">
      <c r="A32" s="166">
        <v>2008</v>
      </c>
      <c r="B32" s="167">
        <v>3.68</v>
      </c>
      <c r="C32" s="167">
        <v>0.27638888888888885</v>
      </c>
      <c r="D32" s="167">
        <v>1.4813888888888889</v>
      </c>
      <c r="E32" s="167">
        <v>3.0738888888888889</v>
      </c>
      <c r="F32" s="167"/>
      <c r="G32" s="599">
        <v>8.5116666666666667</v>
      </c>
    </row>
    <row r="33" spans="1:7" ht="15.95" customHeight="1">
      <c r="A33" s="819">
        <v>2009</v>
      </c>
      <c r="B33" s="831">
        <v>3.4261111111111107</v>
      </c>
      <c r="C33" s="831">
        <v>0.24972222222222223</v>
      </c>
      <c r="D33" s="831">
        <v>1.6969444444444444</v>
      </c>
      <c r="E33" s="831">
        <v>6.5274999999999999</v>
      </c>
      <c r="F33" s="831">
        <v>1.2272222222222222</v>
      </c>
      <c r="G33" s="832">
        <v>13.1275</v>
      </c>
    </row>
    <row r="34" spans="1:7" ht="15.95" customHeight="1">
      <c r="A34" s="168">
        <v>2010</v>
      </c>
      <c r="B34" s="109">
        <v>3.7388888888888885</v>
      </c>
      <c r="C34" s="109">
        <v>0.32638888888888884</v>
      </c>
      <c r="D34" s="109">
        <v>2.3283333333333331</v>
      </c>
      <c r="E34" s="109">
        <v>9.8138888888888882</v>
      </c>
      <c r="F34" s="109">
        <v>1.1902777777777778</v>
      </c>
      <c r="G34" s="600">
        <v>17.397777777777776</v>
      </c>
    </row>
    <row r="35" spans="1:7" ht="15.95" customHeight="1">
      <c r="A35" s="819">
        <v>2011</v>
      </c>
      <c r="B35" s="831">
        <v>4.1302777777777777</v>
      </c>
      <c r="C35" s="831">
        <v>0.4425</v>
      </c>
      <c r="D35" s="831">
        <v>1.601388888888889</v>
      </c>
      <c r="E35" s="831">
        <v>6.33</v>
      </c>
      <c r="F35" s="831">
        <v>1.2452777777777779</v>
      </c>
      <c r="G35" s="832">
        <v>13.749444444444444</v>
      </c>
    </row>
    <row r="36" spans="1:7" ht="15.95" customHeight="1">
      <c r="A36" s="168">
        <v>2012</v>
      </c>
      <c r="B36" s="109">
        <v>4.1305555555555555</v>
      </c>
      <c r="C36" s="109">
        <v>0.54833333333333334</v>
      </c>
      <c r="D36" s="109">
        <v>1.6672222222222222</v>
      </c>
      <c r="E36" s="109">
        <v>4.4811111111111117</v>
      </c>
      <c r="F36" s="109">
        <v>1.2330555555555553</v>
      </c>
      <c r="G36" s="600">
        <v>12.060277777777777</v>
      </c>
    </row>
    <row r="37" spans="1:7" ht="15.95" customHeight="1">
      <c r="A37" s="819">
        <v>2013</v>
      </c>
      <c r="B37" s="831">
        <v>3.6163888888888889</v>
      </c>
      <c r="C37" s="831">
        <v>0.55194444444444446</v>
      </c>
      <c r="D37" s="831">
        <v>1.5697222222222222</v>
      </c>
      <c r="E37" s="831">
        <v>4.4400000000000004</v>
      </c>
      <c r="F37" s="831">
        <v>1.141388888888889</v>
      </c>
      <c r="G37" s="832">
        <v>11.319444444444445</v>
      </c>
    </row>
    <row r="38" spans="1:7" ht="15.95" customHeight="1">
      <c r="A38" s="860">
        <v>2014</v>
      </c>
      <c r="B38" s="861">
        <v>3.638611111111111</v>
      </c>
      <c r="C38" s="861">
        <v>0.5755555555555556</v>
      </c>
      <c r="D38" s="861">
        <v>1.6944444444444444</v>
      </c>
      <c r="E38" s="861">
        <v>2.3730555555555557</v>
      </c>
      <c r="F38" s="861">
        <v>1.1755555555555555</v>
      </c>
      <c r="G38" s="862">
        <v>9.4572222222222209</v>
      </c>
    </row>
    <row r="39" spans="1:7" ht="15.95" customHeight="1">
      <c r="A39" s="819">
        <v>2015</v>
      </c>
      <c r="B39" s="831">
        <v>3.9147222222222222</v>
      </c>
      <c r="C39" s="831">
        <v>0.44500000000000001</v>
      </c>
      <c r="D39" s="831">
        <v>1.5866666666666664</v>
      </c>
      <c r="E39" s="831">
        <v>2.4836111111111108</v>
      </c>
      <c r="F39" s="831">
        <v>1.2655555555555553</v>
      </c>
      <c r="G39" s="832">
        <v>9.6955555555555542</v>
      </c>
    </row>
    <row r="40" spans="1:7">
      <c r="A40" s="191"/>
      <c r="B40" s="192"/>
      <c r="C40" s="192"/>
      <c r="D40" s="192"/>
      <c r="E40" s="192"/>
      <c r="F40" s="192"/>
      <c r="G40" s="107"/>
    </row>
    <row r="41" spans="1:7">
      <c r="A41" s="169"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theme="0"/>
  </sheetPr>
  <dimension ref="A1:I60"/>
  <sheetViews>
    <sheetView zoomScale="90" zoomScaleNormal="90" workbookViewId="0">
      <pane ySplit="6" topLeftCell="A7" activePane="bottomLeft" state="frozen"/>
      <selection pane="bottomLeft" activeCell="C1" sqref="C1"/>
    </sheetView>
  </sheetViews>
  <sheetFormatPr defaultColWidth="9" defaultRowHeight="13.15"/>
  <cols>
    <col min="1" max="1" width="8.1328125" style="11" customWidth="1"/>
    <col min="2" max="2" width="19.3984375" style="11" customWidth="1"/>
    <col min="3" max="3" width="21.265625" style="11" customWidth="1"/>
    <col min="4" max="4" width="20.265625" style="11" customWidth="1"/>
    <col min="5" max="5" width="19.73046875" style="11" customWidth="1"/>
    <col min="6" max="16384" width="9" style="11"/>
  </cols>
  <sheetData>
    <row r="1" spans="1:9" ht="15.95" customHeight="1">
      <c r="A1" s="524" t="str">
        <f>IF(språk=lista[[#Headers],[Svenska]],"Innehåll",IF(språk=lista[[#Headers],[English]],"Contents","FEL"))</f>
        <v>Contents</v>
      </c>
    </row>
    <row r="2" spans="1:9" ht="15.95" customHeight="1"/>
    <row r="3" spans="1:9" ht="15.95" customHeight="1">
      <c r="A3" s="435" t="str">
        <f>IFERROR(INDEX(lista[],MATCH($A5,lista[ID],0),MATCH(språk,lista[#Headers],0)),"")</f>
        <v>Average natural gas prices in Europe, the USA and Asia, from 1984, USD/MMBTU</v>
      </c>
      <c r="B3" s="435"/>
      <c r="C3" s="435"/>
      <c r="D3" s="435"/>
      <c r="F3" s="4"/>
      <c r="G3" s="4"/>
      <c r="H3" s="4"/>
      <c r="I3" s="4"/>
    </row>
    <row r="4" spans="1:9" ht="15.95" customHeight="1">
      <c r="A4" s="574"/>
      <c r="B4" s="575"/>
      <c r="F4" s="4"/>
      <c r="G4" s="4"/>
      <c r="H4" s="4"/>
      <c r="I4" s="4"/>
    </row>
    <row r="5" spans="1:9" ht="15.95" hidden="1" customHeight="1">
      <c r="A5" s="11">
        <v>74</v>
      </c>
      <c r="B5" s="11" t="s">
        <v>647</v>
      </c>
      <c r="C5" s="11" t="s">
        <v>648</v>
      </c>
      <c r="D5" s="11" t="s">
        <v>649</v>
      </c>
      <c r="E5" s="11" t="s">
        <v>650</v>
      </c>
      <c r="F5" s="4"/>
      <c r="G5" s="4"/>
      <c r="H5" s="4"/>
      <c r="I5" s="4"/>
    </row>
    <row r="6" spans="1:9" ht="26.25">
      <c r="A6" s="171"/>
      <c r="B6" s="252" t="str">
        <f>IFERROR(INDEX(_10.2[],MATCH(språk,_10.2[[id]:[id]],0),MATCH(B$5,_10.2[#Headers],0)),"")</f>
        <v>Asia: LNG Japan</v>
      </c>
      <c r="C6" s="252" t="str">
        <f>IFERROR(INDEX(_10.2[],MATCH(språk,_10.2[[id]:[id]],0),MATCH(C$5,_10.2[#Headers],0)),"")</f>
        <v>Spot + long-term contract: average German import</v>
      </c>
      <c r="D6" s="252" t="str">
        <f>IFERROR(INDEX(_10.2[],MATCH(språk,_10.2[[id]:[id]],0),MATCH(D$5,_10.2[#Headers],0)),"")</f>
        <v>European spot: UK NBP</v>
      </c>
      <c r="E6" s="252" t="str">
        <f>IFERROR(INDEX(_10.2[],MATCH(språk,_10.2[[id]:[id]],0),MATCH(E$5,_10.2[#Headers],0)),"")</f>
        <v>US spot: Henry Hub</v>
      </c>
      <c r="F6" s="4"/>
      <c r="G6" s="4"/>
      <c r="H6" s="4"/>
      <c r="I6" s="4"/>
    </row>
    <row r="7" spans="1:9" ht="15.95" customHeight="1">
      <c r="A7" s="833">
        <v>1984</v>
      </c>
      <c r="B7" s="834">
        <v>5.0999999999999996</v>
      </c>
      <c r="C7" s="834">
        <v>4</v>
      </c>
      <c r="D7" s="834" t="s">
        <v>6</v>
      </c>
      <c r="E7" s="858" t="s">
        <v>6</v>
      </c>
      <c r="F7" s="4"/>
      <c r="G7" s="4"/>
      <c r="H7" s="4"/>
      <c r="I7" s="4"/>
    </row>
    <row r="8" spans="1:9" ht="15.95" customHeight="1">
      <c r="A8" s="253">
        <v>1985</v>
      </c>
      <c r="B8" s="576">
        <v>5.23</v>
      </c>
      <c r="C8" s="576">
        <v>4.25</v>
      </c>
      <c r="D8" s="576" t="s">
        <v>6</v>
      </c>
      <c r="E8" s="577" t="s">
        <v>6</v>
      </c>
      <c r="F8" s="4"/>
      <c r="G8" s="4"/>
      <c r="H8" s="4"/>
      <c r="I8" s="4"/>
    </row>
    <row r="9" spans="1:9" ht="15.95" customHeight="1">
      <c r="A9" s="833">
        <v>1986</v>
      </c>
      <c r="B9" s="834">
        <v>4.0999999999999996</v>
      </c>
      <c r="C9" s="834">
        <v>3.93</v>
      </c>
      <c r="D9" s="834" t="s">
        <v>6</v>
      </c>
      <c r="E9" s="858" t="s">
        <v>6</v>
      </c>
      <c r="F9" s="4"/>
      <c r="G9" s="4"/>
      <c r="H9" s="4"/>
      <c r="I9" s="4"/>
    </row>
    <row r="10" spans="1:9" ht="15.95" customHeight="1">
      <c r="A10" s="253">
        <v>1987</v>
      </c>
      <c r="B10" s="576">
        <v>3.35</v>
      </c>
      <c r="C10" s="576">
        <v>2.5499999999999998</v>
      </c>
      <c r="D10" s="576" t="s">
        <v>6</v>
      </c>
      <c r="E10" s="577" t="s">
        <v>6</v>
      </c>
      <c r="F10" s="4"/>
      <c r="G10" s="4"/>
      <c r="H10" s="4"/>
      <c r="I10" s="4"/>
    </row>
    <row r="11" spans="1:9" ht="15.95" customHeight="1">
      <c r="A11" s="833">
        <v>1988</v>
      </c>
      <c r="B11" s="834">
        <v>3.34</v>
      </c>
      <c r="C11" s="834">
        <v>2.2200000000000002</v>
      </c>
      <c r="D11" s="834" t="s">
        <v>6</v>
      </c>
      <c r="E11" s="858" t="s">
        <v>6</v>
      </c>
      <c r="F11" s="4"/>
      <c r="G11" s="4"/>
      <c r="H11" s="4"/>
      <c r="I11" s="4"/>
    </row>
    <row r="12" spans="1:9" ht="15.95" customHeight="1">
      <c r="A12" s="253">
        <v>1989</v>
      </c>
      <c r="B12" s="576">
        <v>3.28</v>
      </c>
      <c r="C12" s="576">
        <v>2</v>
      </c>
      <c r="D12" s="576" t="s">
        <v>6</v>
      </c>
      <c r="E12" s="578">
        <v>1.7</v>
      </c>
      <c r="F12" s="4"/>
      <c r="G12" s="4"/>
      <c r="H12" s="4"/>
      <c r="I12" s="4"/>
    </row>
    <row r="13" spans="1:9" ht="15.95" customHeight="1">
      <c r="A13" s="833">
        <v>1990</v>
      </c>
      <c r="B13" s="834">
        <v>3.64</v>
      </c>
      <c r="C13" s="834">
        <v>2.78</v>
      </c>
      <c r="D13" s="834" t="s">
        <v>6</v>
      </c>
      <c r="E13" s="859">
        <v>1.64</v>
      </c>
      <c r="F13" s="4"/>
      <c r="G13" s="4"/>
      <c r="H13" s="4"/>
      <c r="I13" s="4"/>
    </row>
    <row r="14" spans="1:9" ht="15.95" customHeight="1">
      <c r="A14" s="253">
        <v>1991</v>
      </c>
      <c r="B14" s="576">
        <v>3.99</v>
      </c>
      <c r="C14" s="576">
        <v>3.19</v>
      </c>
      <c r="D14" s="576" t="s">
        <v>6</v>
      </c>
      <c r="E14" s="578">
        <v>1.49</v>
      </c>
      <c r="F14" s="4"/>
      <c r="G14" s="4"/>
      <c r="H14" s="4"/>
      <c r="I14" s="4"/>
    </row>
    <row r="15" spans="1:9" ht="15.95" customHeight="1">
      <c r="A15" s="833">
        <v>1992</v>
      </c>
      <c r="B15" s="834">
        <v>3.62</v>
      </c>
      <c r="C15" s="834">
        <v>2.69</v>
      </c>
      <c r="D15" s="834" t="s">
        <v>6</v>
      </c>
      <c r="E15" s="859">
        <v>1.77</v>
      </c>
      <c r="F15" s="4"/>
      <c r="G15" s="4"/>
      <c r="H15" s="4"/>
      <c r="I15" s="4"/>
    </row>
    <row r="16" spans="1:9" ht="15.95" customHeight="1">
      <c r="A16" s="253">
        <v>1993</v>
      </c>
      <c r="B16" s="576">
        <v>3.52</v>
      </c>
      <c r="C16" s="576">
        <v>2.5</v>
      </c>
      <c r="D16" s="576" t="s">
        <v>6</v>
      </c>
      <c r="E16" s="578">
        <v>2.12</v>
      </c>
      <c r="F16" s="4"/>
      <c r="G16" s="4"/>
      <c r="H16" s="4"/>
      <c r="I16" s="4"/>
    </row>
    <row r="17" spans="1:9" ht="15.95" customHeight="1">
      <c r="A17" s="833">
        <v>1994</v>
      </c>
      <c r="B17" s="834">
        <v>3.18</v>
      </c>
      <c r="C17" s="834">
        <v>2.35</v>
      </c>
      <c r="D17" s="834" t="s">
        <v>6</v>
      </c>
      <c r="E17" s="859">
        <v>1.92</v>
      </c>
      <c r="F17" s="4"/>
      <c r="G17" s="4"/>
      <c r="H17" s="4"/>
      <c r="I17" s="4"/>
    </row>
    <row r="18" spans="1:9" ht="15.95" customHeight="1">
      <c r="A18" s="253">
        <v>1995</v>
      </c>
      <c r="B18" s="576">
        <v>3.46</v>
      </c>
      <c r="C18" s="576">
        <v>2.39</v>
      </c>
      <c r="D18" s="576" t="s">
        <v>6</v>
      </c>
      <c r="E18" s="578">
        <v>1.69</v>
      </c>
      <c r="F18" s="4"/>
      <c r="G18" s="4"/>
      <c r="H18" s="4"/>
      <c r="I18" s="4"/>
    </row>
    <row r="19" spans="1:9" ht="15.95" customHeight="1">
      <c r="A19" s="833">
        <v>1996</v>
      </c>
      <c r="B19" s="834">
        <v>3.66</v>
      </c>
      <c r="C19" s="834">
        <v>2.46</v>
      </c>
      <c r="D19" s="834">
        <v>1.87</v>
      </c>
      <c r="E19" s="859">
        <v>2.76</v>
      </c>
      <c r="F19" s="4"/>
      <c r="G19" s="4"/>
      <c r="H19" s="4"/>
      <c r="I19" s="4"/>
    </row>
    <row r="20" spans="1:9" ht="15.95" customHeight="1">
      <c r="A20" s="253">
        <v>1997</v>
      </c>
      <c r="B20" s="576">
        <v>3.91</v>
      </c>
      <c r="C20" s="576">
        <v>2.64</v>
      </c>
      <c r="D20" s="576">
        <v>1.96</v>
      </c>
      <c r="E20" s="578">
        <v>2.5299999999999998</v>
      </c>
      <c r="F20" s="4"/>
      <c r="G20" s="4"/>
      <c r="H20" s="4"/>
      <c r="I20" s="4"/>
    </row>
    <row r="21" spans="1:9" ht="15.95" customHeight="1">
      <c r="A21" s="833">
        <v>1998</v>
      </c>
      <c r="B21" s="834">
        <v>3.05</v>
      </c>
      <c r="C21" s="834">
        <v>2.3199999999999998</v>
      </c>
      <c r="D21" s="834">
        <v>1.86</v>
      </c>
      <c r="E21" s="859">
        <v>2.08</v>
      </c>
      <c r="F21" s="4"/>
      <c r="G21" s="4"/>
      <c r="H21" s="4"/>
      <c r="I21" s="4"/>
    </row>
    <row r="22" spans="1:9" ht="15.95" customHeight="1">
      <c r="A22" s="253">
        <v>1999</v>
      </c>
      <c r="B22" s="576">
        <v>3.14</v>
      </c>
      <c r="C22" s="576">
        <v>1.88</v>
      </c>
      <c r="D22" s="576">
        <v>1.58</v>
      </c>
      <c r="E22" s="578">
        <v>2.27</v>
      </c>
      <c r="F22" s="4"/>
      <c r="G22" s="4"/>
      <c r="H22" s="4"/>
      <c r="I22" s="4"/>
    </row>
    <row r="23" spans="1:9" ht="15.95" customHeight="1">
      <c r="A23" s="833">
        <v>2000</v>
      </c>
      <c r="B23" s="834">
        <v>4.72</v>
      </c>
      <c r="C23" s="834">
        <v>2.89</v>
      </c>
      <c r="D23" s="834">
        <v>2.71</v>
      </c>
      <c r="E23" s="859">
        <v>4.2300000000000004</v>
      </c>
      <c r="F23" s="4"/>
      <c r="G23" s="4"/>
      <c r="H23" s="4"/>
      <c r="I23" s="4"/>
    </row>
    <row r="24" spans="1:9" ht="15.95" customHeight="1">
      <c r="A24" s="253">
        <v>2001</v>
      </c>
      <c r="B24" s="576">
        <v>4.6399999999999997</v>
      </c>
      <c r="C24" s="576">
        <v>3.66</v>
      </c>
      <c r="D24" s="576">
        <v>3.17</v>
      </c>
      <c r="E24" s="578">
        <v>4.07</v>
      </c>
      <c r="F24" s="4"/>
      <c r="G24" s="4"/>
      <c r="H24" s="4"/>
      <c r="I24" s="4"/>
    </row>
    <row r="25" spans="1:9" ht="15.95" customHeight="1">
      <c r="A25" s="833">
        <v>2002</v>
      </c>
      <c r="B25" s="834">
        <v>4.2699999999999996</v>
      </c>
      <c r="C25" s="834">
        <v>3.23</v>
      </c>
      <c r="D25" s="834">
        <v>2.37</v>
      </c>
      <c r="E25" s="859">
        <v>3.33</v>
      </c>
      <c r="F25" s="4"/>
      <c r="G25" s="4"/>
      <c r="H25" s="4"/>
      <c r="I25" s="4"/>
    </row>
    <row r="26" spans="1:9" ht="15.95" customHeight="1">
      <c r="A26" s="253">
        <v>2003</v>
      </c>
      <c r="B26" s="576">
        <v>4.7699999999999996</v>
      </c>
      <c r="C26" s="576">
        <v>4.0599999999999996</v>
      </c>
      <c r="D26" s="576">
        <v>3.33</v>
      </c>
      <c r="E26" s="578">
        <v>5.63</v>
      </c>
      <c r="F26" s="4"/>
      <c r="G26" s="4"/>
      <c r="H26" s="4"/>
      <c r="I26" s="4"/>
    </row>
    <row r="27" spans="1:9" ht="15.95" customHeight="1">
      <c r="A27" s="833">
        <v>2004</v>
      </c>
      <c r="B27" s="834">
        <v>5.18</v>
      </c>
      <c r="C27" s="834">
        <v>4.32</v>
      </c>
      <c r="D27" s="834">
        <v>4.46</v>
      </c>
      <c r="E27" s="859">
        <v>5.85</v>
      </c>
      <c r="F27" s="4"/>
      <c r="G27" s="4"/>
      <c r="H27" s="4"/>
      <c r="I27" s="4"/>
    </row>
    <row r="28" spans="1:9" ht="15.95" customHeight="1">
      <c r="A28" s="253">
        <v>2005</v>
      </c>
      <c r="B28" s="576">
        <v>6.05</v>
      </c>
      <c r="C28" s="576">
        <v>5.88</v>
      </c>
      <c r="D28" s="576">
        <v>7.38</v>
      </c>
      <c r="E28" s="578">
        <v>8.7899999999999991</v>
      </c>
    </row>
    <row r="29" spans="1:9" ht="15.95" customHeight="1">
      <c r="A29" s="833">
        <v>2006</v>
      </c>
      <c r="B29" s="834">
        <v>7.14</v>
      </c>
      <c r="C29" s="834">
        <v>7.85</v>
      </c>
      <c r="D29" s="834">
        <v>7.87</v>
      </c>
      <c r="E29" s="859">
        <v>6.76</v>
      </c>
    </row>
    <row r="30" spans="1:9" ht="15.95" customHeight="1">
      <c r="A30" s="253">
        <v>2007</v>
      </c>
      <c r="B30" s="576">
        <v>7.73</v>
      </c>
      <c r="C30" s="576">
        <v>8.0299999999999994</v>
      </c>
      <c r="D30" s="576">
        <v>6.01</v>
      </c>
      <c r="E30" s="578">
        <v>6.95</v>
      </c>
    </row>
    <row r="31" spans="1:9" ht="15.95" customHeight="1">
      <c r="A31" s="833">
        <v>2008</v>
      </c>
      <c r="B31" s="834">
        <v>12.55</v>
      </c>
      <c r="C31" s="834">
        <v>11.56</v>
      </c>
      <c r="D31" s="834">
        <v>10.79</v>
      </c>
      <c r="E31" s="859">
        <v>8.85</v>
      </c>
    </row>
    <row r="32" spans="1:9" ht="15.95" customHeight="1">
      <c r="A32" s="253">
        <v>2009</v>
      </c>
      <c r="B32" s="576">
        <v>9.06</v>
      </c>
      <c r="C32" s="576">
        <v>8.52</v>
      </c>
      <c r="D32" s="576">
        <v>4.8499999999999996</v>
      </c>
      <c r="E32" s="578">
        <v>3.89</v>
      </c>
    </row>
    <row r="33" spans="1:5" ht="15.95" customHeight="1">
      <c r="A33" s="833">
        <v>2010</v>
      </c>
      <c r="B33" s="834">
        <v>10.91</v>
      </c>
      <c r="C33" s="834">
        <v>8.01</v>
      </c>
      <c r="D33" s="834">
        <v>6.56</v>
      </c>
      <c r="E33" s="859">
        <v>4.3899999999999997</v>
      </c>
    </row>
    <row r="34" spans="1:5" ht="15.95" customHeight="1">
      <c r="A34" s="253">
        <v>2011</v>
      </c>
      <c r="B34" s="576">
        <v>14.73</v>
      </c>
      <c r="C34" s="576">
        <v>10.49</v>
      </c>
      <c r="D34" s="576">
        <v>9.0399999999999991</v>
      </c>
      <c r="E34" s="578">
        <v>4.01</v>
      </c>
    </row>
    <row r="35" spans="1:5" ht="15.95" customHeight="1">
      <c r="A35" s="833">
        <v>2012</v>
      </c>
      <c r="B35" s="834">
        <v>16.75</v>
      </c>
      <c r="C35" s="834">
        <v>10.93</v>
      </c>
      <c r="D35" s="834">
        <v>9.4600000000000009</v>
      </c>
      <c r="E35" s="859">
        <v>2.76</v>
      </c>
    </row>
    <row r="36" spans="1:5" ht="15.95" customHeight="1">
      <c r="A36" s="253">
        <v>2013</v>
      </c>
      <c r="B36" s="576">
        <v>16.170000000000002</v>
      </c>
      <c r="C36" s="576">
        <v>10.73</v>
      </c>
      <c r="D36" s="576">
        <v>10.64</v>
      </c>
      <c r="E36" s="578">
        <v>3.71</v>
      </c>
    </row>
    <row r="37" spans="1:5" ht="15.95" customHeight="1">
      <c r="A37" s="833">
        <v>2014</v>
      </c>
      <c r="B37" s="834">
        <v>16.329999999999998</v>
      </c>
      <c r="C37" s="834">
        <v>9.11</v>
      </c>
      <c r="D37" s="834">
        <v>8.25</v>
      </c>
      <c r="E37" s="859">
        <v>4.3499999999999996</v>
      </c>
    </row>
    <row r="38" spans="1:5" ht="15.95" customHeight="1">
      <c r="A38" s="253">
        <v>2015</v>
      </c>
      <c r="B38" s="576">
        <v>10.31</v>
      </c>
      <c r="C38" s="576">
        <v>6.72</v>
      </c>
      <c r="D38" s="576">
        <v>6.53</v>
      </c>
      <c r="E38" s="578">
        <v>2.6</v>
      </c>
    </row>
    <row r="39" spans="1:5" ht="15.95" customHeight="1">
      <c r="A39" s="833">
        <v>2016</v>
      </c>
      <c r="B39" s="834">
        <v>6.94</v>
      </c>
      <c r="C39" s="834">
        <v>4.93</v>
      </c>
      <c r="D39" s="834">
        <v>4.6900000000000004</v>
      </c>
      <c r="E39" s="859">
        <v>2.46</v>
      </c>
    </row>
    <row r="40" spans="1:5" ht="15.95" customHeight="1">
      <c r="A40" s="945"/>
      <c r="B40" s="576"/>
      <c r="C40" s="576"/>
      <c r="D40" s="576"/>
      <c r="E40" s="576"/>
    </row>
    <row r="41" spans="1:5">
      <c r="A41" s="1069" t="s">
        <v>540</v>
      </c>
      <c r="B41" s="1069"/>
      <c r="C41" s="1069"/>
      <c r="D41" s="1069"/>
    </row>
    <row r="42" spans="1:5">
      <c r="A42" s="11" t="s">
        <v>509</v>
      </c>
    </row>
    <row r="43" spans="1:5">
      <c r="A43" s="11" t="s">
        <v>510</v>
      </c>
    </row>
    <row r="49" spans="1:4" ht="12.75" customHeight="1"/>
    <row r="60" spans="1:4">
      <c r="A60" s="236"/>
      <c r="B60" s="236"/>
      <c r="C60" s="236"/>
      <c r="D60" s="236"/>
    </row>
  </sheetData>
  <mergeCells count="1">
    <mergeCell ref="A41:D41"/>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tabColor theme="6" tint="0.39997558519241921"/>
  </sheetPr>
  <dimension ref="A1:R266"/>
  <sheetViews>
    <sheetView zoomScaleNormal="100" zoomScaleSheetLayoutView="100" workbookViewId="0">
      <pane ySplit="6" topLeftCell="A7" activePane="bottomLeft" state="frozen"/>
      <selection pane="bottomLeft" activeCell="C1" sqref="C1"/>
    </sheetView>
  </sheetViews>
  <sheetFormatPr defaultColWidth="8.1328125" defaultRowHeight="13.15"/>
  <cols>
    <col min="1" max="1" width="9.86328125" style="182" customWidth="1"/>
    <col min="2" max="2" width="11.265625" style="183" customWidth="1"/>
    <col min="3" max="3" width="10.86328125" style="183" customWidth="1"/>
    <col min="4" max="4" width="13.265625" style="183" customWidth="1"/>
    <col min="5" max="5" width="18.265625" style="183" customWidth="1"/>
    <col min="6" max="6" width="11.73046875" style="183" customWidth="1"/>
    <col min="7" max="16384" width="8.1328125" style="174"/>
  </cols>
  <sheetData>
    <row r="1" spans="1:18" ht="15.95" customHeight="1">
      <c r="A1" s="524" t="str">
        <f>IF(språk=lista[[#Headers],[Svenska]],"Innehåll",IF(språk=lista[[#Headers],[English]],"Contents","FEL"))</f>
        <v>Contents</v>
      </c>
    </row>
    <row r="2" spans="1:18" ht="15.95" customHeight="1"/>
    <row r="3" spans="1:18" ht="15.95" customHeight="1">
      <c r="A3" s="403" t="str">
        <f>IFERROR(INDEX(lista[],MATCH($A5,lista[ID],0),MATCH(språk,lista[#Headers],0)),"")</f>
        <v>Use of coal by sector, from 1983, TWh</v>
      </c>
      <c r="B3" s="403"/>
      <c r="C3" s="403"/>
      <c r="D3" s="403"/>
      <c r="E3" s="403"/>
      <c r="F3" s="403"/>
      <c r="G3" s="173"/>
    </row>
    <row r="4" spans="1:18" s="282" customFormat="1" ht="15.95" customHeight="1">
      <c r="A4" s="403"/>
      <c r="B4" s="281"/>
      <c r="C4" s="281"/>
      <c r="D4" s="281"/>
      <c r="E4" s="281"/>
      <c r="F4" s="281"/>
      <c r="G4" s="639"/>
      <c r="H4" s="639"/>
      <c r="I4" s="639"/>
      <c r="J4" s="639"/>
      <c r="K4" s="639"/>
      <c r="L4" s="639"/>
      <c r="M4" s="639"/>
      <c r="N4" s="639"/>
      <c r="O4" s="639"/>
      <c r="P4" s="639"/>
      <c r="Q4" s="639"/>
      <c r="R4" s="639"/>
    </row>
    <row r="5" spans="1:18" s="282" customFormat="1" ht="15.95" hidden="1" customHeight="1">
      <c r="A5" s="403">
        <v>76</v>
      </c>
      <c r="B5" s="281" t="s">
        <v>647</v>
      </c>
      <c r="C5" s="281" t="s">
        <v>648</v>
      </c>
      <c r="D5" s="281" t="s">
        <v>649</v>
      </c>
      <c r="E5" s="281" t="s">
        <v>650</v>
      </c>
      <c r="F5" s="281"/>
      <c r="G5" s="639"/>
      <c r="H5" s="639"/>
      <c r="I5" s="639"/>
      <c r="J5" s="639"/>
      <c r="K5" s="639"/>
      <c r="L5" s="639"/>
      <c r="M5" s="639"/>
      <c r="N5" s="639"/>
      <c r="O5" s="639"/>
      <c r="P5" s="639"/>
      <c r="Q5" s="639"/>
      <c r="R5" s="639"/>
    </row>
    <row r="6" spans="1:18" ht="26.25">
      <c r="A6" s="175"/>
      <c r="B6" s="176" t="str">
        <f>IFERROR(INDEX(_11.1[],MATCH(språk,_11.1[[id]:[id]],0),MATCH(B$5,_11.1[#Headers],0)),"")</f>
        <v>Residential and services</v>
      </c>
      <c r="C6" s="176" t="str">
        <f>IFERROR(INDEX(_11.1[],MATCH(språk,_11.1[[id]:[id]],0),MATCH(C$5,_11.1[#Headers],0)),"")</f>
        <v>Industry</v>
      </c>
      <c r="D6" s="176" t="str">
        <f>IFERROR(INDEX(_11.1[],MATCH(språk,_11.1[[id]:[id]],0),MATCH(D$5,_11.1[#Headers],0)),"")</f>
        <v>Coke ovens</v>
      </c>
      <c r="E6" s="176" t="str">
        <f>IFERROR(INDEX(_11.1[],MATCH(språk,_11.1[[id]:[id]],0),MATCH(E$5,_11.1[#Headers],0)),"")</f>
        <v>Heat and power plants</v>
      </c>
      <c r="F6" s="235" t="str">
        <f>IF(språk=lista[[#Headers],[Svenska]],"Totalt",IF(språk=lista[[#Headers],[English]],"Total","FEL"))</f>
        <v>Total</v>
      </c>
    </row>
    <row r="7" spans="1:18" ht="15.95" customHeight="1">
      <c r="A7" s="835">
        <v>1983</v>
      </c>
      <c r="B7" s="836">
        <v>0.28722222222222221</v>
      </c>
      <c r="C7" s="836">
        <v>4.0216666666666665</v>
      </c>
      <c r="D7" s="836">
        <v>11.808055555555555</v>
      </c>
      <c r="E7" s="836">
        <v>6.4027777777777777</v>
      </c>
      <c r="F7" s="837">
        <v>22.519722222222221</v>
      </c>
    </row>
    <row r="8" spans="1:18" ht="15.95" customHeight="1">
      <c r="A8" s="177">
        <v>1984</v>
      </c>
      <c r="B8" s="665">
        <v>0.39305555555555555</v>
      </c>
      <c r="C8" s="665">
        <v>4.6641666666666666</v>
      </c>
      <c r="D8" s="665">
        <v>12.488333333333333</v>
      </c>
      <c r="E8" s="665">
        <v>9.6836111111111105</v>
      </c>
      <c r="F8" s="666">
        <v>27.229166666666664</v>
      </c>
    </row>
    <row r="9" spans="1:18" ht="15.95" customHeight="1">
      <c r="A9" s="835">
        <v>1985</v>
      </c>
      <c r="B9" s="836">
        <v>0.43083333333333335</v>
      </c>
      <c r="C9" s="836">
        <v>4.7549999999999999</v>
      </c>
      <c r="D9" s="836">
        <v>12.246388888888889</v>
      </c>
      <c r="E9" s="836">
        <v>13.803611111111111</v>
      </c>
      <c r="F9" s="837">
        <v>31.235833333333332</v>
      </c>
    </row>
    <row r="10" spans="1:18" ht="15.95" customHeight="1">
      <c r="A10" s="177">
        <v>1986</v>
      </c>
      <c r="B10" s="665">
        <v>0.41583333333333333</v>
      </c>
      <c r="C10" s="665">
        <v>4.8530555555555557</v>
      </c>
      <c r="D10" s="665">
        <v>12.004444444444445</v>
      </c>
      <c r="E10" s="665">
        <v>14.718333333333334</v>
      </c>
      <c r="F10" s="666">
        <v>31.991666666666667</v>
      </c>
    </row>
    <row r="11" spans="1:18" ht="15.95" customHeight="1">
      <c r="A11" s="835">
        <v>1987</v>
      </c>
      <c r="B11" s="836">
        <v>0.53666666666666663</v>
      </c>
      <c r="C11" s="836">
        <v>4.9741666666666671</v>
      </c>
      <c r="D11" s="836">
        <v>11.157777777777778</v>
      </c>
      <c r="E11" s="836">
        <v>14.695555555555556</v>
      </c>
      <c r="F11" s="837">
        <v>31.364166666666669</v>
      </c>
    </row>
    <row r="12" spans="1:18" ht="15.95" customHeight="1">
      <c r="A12" s="177">
        <v>1988</v>
      </c>
      <c r="B12" s="665">
        <v>0.54416666666666669</v>
      </c>
      <c r="C12" s="665">
        <v>6.2744444444444447</v>
      </c>
      <c r="D12" s="665">
        <v>9.3058333333333341</v>
      </c>
      <c r="E12" s="665">
        <v>13.584444444444445</v>
      </c>
      <c r="F12" s="666">
        <v>29.708888888888893</v>
      </c>
    </row>
    <row r="13" spans="1:18" ht="15.95" customHeight="1">
      <c r="A13" s="835">
        <v>1989</v>
      </c>
      <c r="B13" s="836">
        <v>0.52166666666666661</v>
      </c>
      <c r="C13" s="836">
        <v>6.5347222222222223</v>
      </c>
      <c r="D13" s="836">
        <v>9.9480555555555554</v>
      </c>
      <c r="E13" s="836">
        <v>9.8047222222222228</v>
      </c>
      <c r="F13" s="837">
        <v>26.80916666666667</v>
      </c>
    </row>
    <row r="14" spans="1:18" ht="15.95" customHeight="1">
      <c r="A14" s="177">
        <v>1990</v>
      </c>
      <c r="B14" s="665">
        <v>0.45361111111111113</v>
      </c>
      <c r="C14" s="665">
        <v>7.1133333333333333</v>
      </c>
      <c r="D14" s="665">
        <v>11.452500000000001</v>
      </c>
      <c r="E14" s="665">
        <v>8.9655555555555555</v>
      </c>
      <c r="F14" s="666">
        <v>27.984999999999999</v>
      </c>
    </row>
    <row r="15" spans="1:18" ht="15.95" customHeight="1">
      <c r="A15" s="835">
        <v>1991</v>
      </c>
      <c r="B15" s="836">
        <v>0.30249999999999999</v>
      </c>
      <c r="C15" s="836">
        <v>5.9719444444444445</v>
      </c>
      <c r="D15" s="836">
        <v>11.263611111111111</v>
      </c>
      <c r="E15" s="836">
        <v>9.1772222222222215</v>
      </c>
      <c r="F15" s="837">
        <v>26.715277777777779</v>
      </c>
    </row>
    <row r="16" spans="1:18" ht="15.95" customHeight="1">
      <c r="A16" s="177">
        <v>1992</v>
      </c>
      <c r="B16" s="665">
        <v>0.15861111111111112</v>
      </c>
      <c r="C16" s="665">
        <v>5.1858333333333331</v>
      </c>
      <c r="D16" s="665">
        <v>11.649166666666666</v>
      </c>
      <c r="E16" s="665">
        <v>8.2094444444444452</v>
      </c>
      <c r="F16" s="666">
        <v>25.203055555555558</v>
      </c>
    </row>
    <row r="17" spans="1:6" ht="15.95" customHeight="1">
      <c r="A17" s="835">
        <v>1993</v>
      </c>
      <c r="B17" s="836">
        <v>9.0555555555555556E-2</v>
      </c>
      <c r="C17" s="836">
        <v>5.1405555555555553</v>
      </c>
      <c r="D17" s="836">
        <v>11.369444444444444</v>
      </c>
      <c r="E17" s="836">
        <v>8.0583333333333336</v>
      </c>
      <c r="F17" s="837">
        <v>24.658888888888889</v>
      </c>
    </row>
    <row r="18" spans="1:6" ht="15.95" customHeight="1">
      <c r="A18" s="177">
        <v>1994</v>
      </c>
      <c r="B18" s="665">
        <v>7.5555555555555556E-2</v>
      </c>
      <c r="C18" s="665">
        <v>4.9969444444444449</v>
      </c>
      <c r="D18" s="665">
        <v>11.913611111111111</v>
      </c>
      <c r="E18" s="665">
        <v>8.0130555555555549</v>
      </c>
      <c r="F18" s="666">
        <v>24.999166666666667</v>
      </c>
    </row>
    <row r="19" spans="1:6" ht="15.95" customHeight="1">
      <c r="A19" s="835">
        <v>1995</v>
      </c>
      <c r="B19" s="836">
        <v>3.7777777777777778E-2</v>
      </c>
      <c r="C19" s="836">
        <v>5.5108333333333333</v>
      </c>
      <c r="D19" s="836">
        <v>12.435277777777777</v>
      </c>
      <c r="E19" s="836">
        <v>6.576944444444444</v>
      </c>
      <c r="F19" s="837">
        <v>24.560833333333331</v>
      </c>
    </row>
    <row r="20" spans="1:6" ht="15.95" customHeight="1">
      <c r="A20" s="177">
        <v>1996</v>
      </c>
      <c r="B20" s="665">
        <v>1.4999999999999999E-2</v>
      </c>
      <c r="C20" s="665">
        <v>5.5183333333333335</v>
      </c>
      <c r="D20" s="665">
        <v>12.571388888888889</v>
      </c>
      <c r="E20" s="665">
        <v>10.16</v>
      </c>
      <c r="F20" s="666">
        <v>28.264722222222222</v>
      </c>
    </row>
    <row r="21" spans="1:6" ht="15.95" customHeight="1">
      <c r="A21" s="835">
        <v>1997</v>
      </c>
      <c r="B21" s="836">
        <v>0.03</v>
      </c>
      <c r="C21" s="836">
        <v>5.2991666666666664</v>
      </c>
      <c r="D21" s="836">
        <v>12.639444444444445</v>
      </c>
      <c r="E21" s="836">
        <v>5.4805555555555552</v>
      </c>
      <c r="F21" s="837">
        <v>23.449166666666667</v>
      </c>
    </row>
    <row r="22" spans="1:6" ht="15.95" customHeight="1">
      <c r="A22" s="177">
        <v>1998</v>
      </c>
      <c r="B22" s="665">
        <v>1.4999999999999999E-2</v>
      </c>
      <c r="C22" s="665">
        <v>5.4580555555555552</v>
      </c>
      <c r="D22" s="665">
        <v>13.062777777777777</v>
      </c>
      <c r="E22" s="665">
        <v>5.3597222222222225</v>
      </c>
      <c r="F22" s="666">
        <v>23.895555555555553</v>
      </c>
    </row>
    <row r="23" spans="1:6" ht="15.95" customHeight="1">
      <c r="A23" s="835">
        <v>1999</v>
      </c>
      <c r="B23" s="836">
        <v>1.4999999999999999E-2</v>
      </c>
      <c r="C23" s="836">
        <v>4.943888888888889</v>
      </c>
      <c r="D23" s="836">
        <v>13.35</v>
      </c>
      <c r="E23" s="836">
        <v>4.5736111111111111</v>
      </c>
      <c r="F23" s="837">
        <v>22.8825</v>
      </c>
    </row>
    <row r="24" spans="1:6" ht="15.95" customHeight="1">
      <c r="A24" s="177">
        <v>2000</v>
      </c>
      <c r="B24" s="665">
        <v>1.4999999999999999E-2</v>
      </c>
      <c r="C24" s="665">
        <v>6.3197222222222225</v>
      </c>
      <c r="D24" s="665">
        <v>13.395277777777778</v>
      </c>
      <c r="E24" s="665">
        <v>3.7955555555555556</v>
      </c>
      <c r="F24" s="666">
        <v>23.525555555555556</v>
      </c>
    </row>
    <row r="25" spans="1:6" ht="15.95" customHeight="1">
      <c r="A25" s="835">
        <v>2001</v>
      </c>
      <c r="B25" s="836">
        <v>1.3888888888888889E-3</v>
      </c>
      <c r="C25" s="836">
        <v>6.7941666666666665</v>
      </c>
      <c r="D25" s="836">
        <v>14.536944444444444</v>
      </c>
      <c r="E25" s="836">
        <v>3.85</v>
      </c>
      <c r="F25" s="837">
        <v>25.182500000000001</v>
      </c>
    </row>
    <row r="26" spans="1:6" ht="15.95" customHeight="1">
      <c r="A26" s="177">
        <v>2002</v>
      </c>
      <c r="B26" s="665">
        <v>1.3888888888888889E-3</v>
      </c>
      <c r="C26" s="665">
        <v>7.0411111111111113</v>
      </c>
      <c r="D26" s="665">
        <v>13.705277777777777</v>
      </c>
      <c r="E26" s="665">
        <v>4.4511111111111115</v>
      </c>
      <c r="F26" s="666">
        <v>25.198888888888888</v>
      </c>
    </row>
    <row r="27" spans="1:6" ht="15.95" customHeight="1">
      <c r="A27" s="835">
        <v>2003</v>
      </c>
      <c r="B27" s="836">
        <v>1.3888888888888889E-3</v>
      </c>
      <c r="C27" s="836">
        <v>6.61</v>
      </c>
      <c r="D27" s="836">
        <v>13.6675</v>
      </c>
      <c r="E27" s="836">
        <v>5.2516666666666669</v>
      </c>
      <c r="F27" s="837">
        <v>25.530555555555559</v>
      </c>
    </row>
    <row r="28" spans="1:6" ht="15.95" customHeight="1">
      <c r="A28" s="177">
        <v>2004</v>
      </c>
      <c r="B28" s="665">
        <v>1.3888888888888889E-3</v>
      </c>
      <c r="C28" s="665">
        <v>7.3572222222222221</v>
      </c>
      <c r="D28" s="665">
        <v>15.156666666666666</v>
      </c>
      <c r="E28" s="665">
        <v>4.2838888888888889</v>
      </c>
      <c r="F28" s="666">
        <v>26.799166666666665</v>
      </c>
    </row>
    <row r="29" spans="1:6" ht="15.95" customHeight="1">
      <c r="A29" s="835">
        <v>2005</v>
      </c>
      <c r="B29" s="836">
        <v>0</v>
      </c>
      <c r="C29" s="836">
        <v>7.269166666666667</v>
      </c>
      <c r="D29" s="836">
        <v>14.923333333333334</v>
      </c>
      <c r="E29" s="836">
        <v>3.2141666666666668</v>
      </c>
      <c r="F29" s="837">
        <v>25.40666666666667</v>
      </c>
    </row>
    <row r="30" spans="1:6" ht="15.95" customHeight="1">
      <c r="A30" s="177">
        <v>2006</v>
      </c>
      <c r="B30" s="665">
        <v>0</v>
      </c>
      <c r="C30" s="665">
        <v>7.3849999999999998</v>
      </c>
      <c r="D30" s="665">
        <v>14.866944444444444</v>
      </c>
      <c r="E30" s="665">
        <v>4.1711111111111112</v>
      </c>
      <c r="F30" s="666">
        <v>26.423055555555557</v>
      </c>
    </row>
    <row r="31" spans="1:6" ht="15.95" customHeight="1">
      <c r="A31" s="835">
        <v>2007</v>
      </c>
      <c r="B31" s="836">
        <v>0</v>
      </c>
      <c r="C31" s="836">
        <v>7.4202777777777778</v>
      </c>
      <c r="D31" s="836">
        <v>15.046666666666667</v>
      </c>
      <c r="E31" s="836">
        <v>3.0197222222222222</v>
      </c>
      <c r="F31" s="837">
        <v>25.486666666666665</v>
      </c>
    </row>
    <row r="32" spans="1:6" ht="15.95" customHeight="1">
      <c r="A32" s="177">
        <v>2008</v>
      </c>
      <c r="B32" s="665">
        <v>0</v>
      </c>
      <c r="C32" s="665">
        <v>7.3305555555555557</v>
      </c>
      <c r="D32" s="665">
        <v>14.806666666666667</v>
      </c>
      <c r="E32" s="665">
        <v>2.4575</v>
      </c>
      <c r="F32" s="667">
        <v>24.59472222222222</v>
      </c>
    </row>
    <row r="33" spans="1:6" ht="15.95" customHeight="1">
      <c r="A33" s="835">
        <v>2009</v>
      </c>
      <c r="B33" s="836">
        <v>0</v>
      </c>
      <c r="C33" s="836">
        <v>4.3088888888888892</v>
      </c>
      <c r="D33" s="836">
        <v>11.684166666666666</v>
      </c>
      <c r="E33" s="836">
        <v>2.5491666666666668</v>
      </c>
      <c r="F33" s="837">
        <v>18.542222222222222</v>
      </c>
    </row>
    <row r="34" spans="1:6" ht="15.95" customHeight="1">
      <c r="A34" s="177">
        <v>2010</v>
      </c>
      <c r="B34" s="665">
        <v>0</v>
      </c>
      <c r="C34" s="665">
        <v>6.3472222222222223</v>
      </c>
      <c r="D34" s="665">
        <v>13.965833333333334</v>
      </c>
      <c r="E34" s="665">
        <v>3.1722222222222221</v>
      </c>
      <c r="F34" s="666">
        <v>23.485277777777778</v>
      </c>
    </row>
    <row r="35" spans="1:6" ht="15.95" customHeight="1">
      <c r="A35" s="835">
        <v>2011</v>
      </c>
      <c r="B35" s="836">
        <v>0</v>
      </c>
      <c r="C35" s="836">
        <v>7.3186111111111112</v>
      </c>
      <c r="D35" s="836">
        <v>12.2225</v>
      </c>
      <c r="E35" s="836">
        <v>2.6905555555555556</v>
      </c>
      <c r="F35" s="837">
        <v>22.231666666666666</v>
      </c>
    </row>
    <row r="36" spans="1:6" ht="15.95" customHeight="1">
      <c r="A36" s="178">
        <v>2012</v>
      </c>
      <c r="B36" s="668">
        <v>0</v>
      </c>
      <c r="C36" s="668">
        <v>6.6111111111111107</v>
      </c>
      <c r="D36" s="668">
        <v>10.95888888888889</v>
      </c>
      <c r="E36" s="668">
        <v>2.410277777777778</v>
      </c>
      <c r="F36" s="667">
        <v>19.980277777777779</v>
      </c>
    </row>
    <row r="37" spans="1:6" ht="15.95" customHeight="1">
      <c r="A37" s="835">
        <v>2013</v>
      </c>
      <c r="B37" s="836">
        <v>0</v>
      </c>
      <c r="C37" s="836">
        <v>7.0019444444444447</v>
      </c>
      <c r="D37" s="836">
        <v>10.583333333333334</v>
      </c>
      <c r="E37" s="836">
        <v>3.4188888888888891</v>
      </c>
      <c r="F37" s="837">
        <v>21.00416666666667</v>
      </c>
    </row>
    <row r="38" spans="1:6" ht="15.95" customHeight="1">
      <c r="A38" s="220">
        <v>2014</v>
      </c>
      <c r="B38" s="856">
        <v>0</v>
      </c>
      <c r="C38" s="856">
        <v>6.697222222222222</v>
      </c>
      <c r="D38" s="856">
        <v>11.014444444444445</v>
      </c>
      <c r="E38" s="856">
        <v>2.1463888888888887</v>
      </c>
      <c r="F38" s="857">
        <v>19.858055555555556</v>
      </c>
    </row>
    <row r="39" spans="1:6" ht="15.95" customHeight="1">
      <c r="A39" s="835">
        <v>2015</v>
      </c>
      <c r="B39" s="836">
        <v>0</v>
      </c>
      <c r="C39" s="836">
        <v>5.87</v>
      </c>
      <c r="D39" s="836">
        <v>11.994166666666667</v>
      </c>
      <c r="E39" s="836">
        <v>2.0522222222222224</v>
      </c>
      <c r="F39" s="837">
        <v>19.916388888888889</v>
      </c>
    </row>
    <row r="40" spans="1:6" ht="15">
      <c r="B40" s="180"/>
      <c r="D40" s="180"/>
      <c r="E40" s="180"/>
      <c r="F40" s="180"/>
    </row>
    <row r="41" spans="1:6" ht="15">
      <c r="A41" s="181" t="s">
        <v>27</v>
      </c>
      <c r="B41" s="180"/>
      <c r="C41" s="180"/>
      <c r="D41" s="180"/>
      <c r="E41" s="180"/>
      <c r="F41" s="180"/>
    </row>
    <row r="42" spans="1:6" ht="15">
      <c r="A42" s="179"/>
      <c r="B42" s="180"/>
      <c r="C42" s="180"/>
      <c r="D42" s="180"/>
      <c r="E42" s="180"/>
      <c r="F42" s="180"/>
    </row>
    <row r="43" spans="1:6" ht="15">
      <c r="A43" s="179"/>
      <c r="B43" s="180"/>
      <c r="C43" s="180"/>
      <c r="D43" s="180"/>
      <c r="E43" s="180"/>
      <c r="F43" s="180"/>
    </row>
    <row r="44" spans="1:6" ht="15">
      <c r="A44" s="179"/>
      <c r="B44" s="180"/>
      <c r="C44" s="180"/>
      <c r="D44" s="180"/>
      <c r="E44" s="180"/>
      <c r="F44" s="180"/>
    </row>
    <row r="45" spans="1:6" ht="15">
      <c r="A45" s="179"/>
      <c r="B45" s="180"/>
      <c r="C45" s="180"/>
      <c r="D45" s="180"/>
      <c r="E45" s="180"/>
      <c r="F45" s="180"/>
    </row>
    <row r="46" spans="1:6" ht="15">
      <c r="A46" s="179"/>
      <c r="B46" s="180"/>
      <c r="C46" s="180"/>
      <c r="D46" s="180"/>
      <c r="E46" s="180"/>
      <c r="F46" s="180"/>
    </row>
    <row r="47" spans="1:6" ht="15">
      <c r="A47" s="179"/>
      <c r="B47" s="180"/>
      <c r="C47" s="180"/>
      <c r="D47" s="180"/>
      <c r="E47" s="180"/>
      <c r="F47" s="180"/>
    </row>
    <row r="48" spans="1:6" ht="15">
      <c r="A48" s="179"/>
      <c r="B48" s="180"/>
      <c r="C48" s="180"/>
      <c r="D48" s="180"/>
      <c r="E48" s="180"/>
      <c r="F48" s="180"/>
    </row>
    <row r="49" spans="1:6" ht="15">
      <c r="A49" s="179"/>
      <c r="B49" s="180"/>
      <c r="C49" s="180"/>
      <c r="D49" s="180"/>
      <c r="E49" s="180"/>
      <c r="F49" s="180"/>
    </row>
    <row r="50" spans="1:6" ht="15">
      <c r="A50" s="179"/>
      <c r="B50" s="180"/>
      <c r="C50" s="180"/>
      <c r="D50" s="180"/>
      <c r="E50" s="180"/>
      <c r="F50" s="180"/>
    </row>
    <row r="51" spans="1:6" ht="15">
      <c r="A51" s="179"/>
      <c r="B51" s="180"/>
      <c r="C51" s="180"/>
      <c r="D51" s="180"/>
      <c r="E51" s="180"/>
      <c r="F51" s="180"/>
    </row>
    <row r="52" spans="1:6" ht="15">
      <c r="A52" s="179"/>
      <c r="B52" s="180"/>
      <c r="C52" s="180"/>
      <c r="D52" s="180"/>
      <c r="E52" s="180"/>
      <c r="F52" s="180"/>
    </row>
    <row r="53" spans="1:6" ht="15">
      <c r="A53" s="179"/>
      <c r="B53" s="180"/>
      <c r="C53" s="180"/>
      <c r="D53" s="180"/>
      <c r="E53" s="180"/>
      <c r="F53" s="180"/>
    </row>
    <row r="54" spans="1:6" ht="15">
      <c r="A54" s="179"/>
      <c r="B54" s="180"/>
      <c r="C54" s="180"/>
      <c r="D54" s="180"/>
      <c r="E54" s="180"/>
      <c r="F54" s="180"/>
    </row>
    <row r="55" spans="1:6" ht="15">
      <c r="A55" s="179"/>
      <c r="B55" s="180"/>
      <c r="C55" s="180"/>
      <c r="D55" s="180"/>
      <c r="E55" s="180"/>
      <c r="F55" s="180"/>
    </row>
    <row r="56" spans="1:6" ht="15">
      <c r="A56" s="179"/>
      <c r="B56" s="180"/>
      <c r="C56" s="180"/>
      <c r="D56" s="180"/>
      <c r="E56" s="180"/>
      <c r="F56" s="180"/>
    </row>
    <row r="57" spans="1:6" ht="15">
      <c r="A57" s="179"/>
      <c r="B57" s="180"/>
      <c r="C57" s="180"/>
      <c r="D57" s="180"/>
      <c r="E57" s="180"/>
      <c r="F57" s="180"/>
    </row>
    <row r="58" spans="1:6" ht="15">
      <c r="A58" s="179"/>
      <c r="B58" s="180"/>
      <c r="C58" s="180"/>
      <c r="D58" s="180"/>
      <c r="E58" s="180"/>
      <c r="F58" s="180"/>
    </row>
    <row r="59" spans="1:6" ht="15">
      <c r="A59" s="179"/>
      <c r="B59" s="180"/>
      <c r="C59" s="180"/>
      <c r="D59" s="180"/>
      <c r="E59" s="180"/>
      <c r="F59" s="180"/>
    </row>
    <row r="60" spans="1:6" ht="15">
      <c r="A60" s="179"/>
      <c r="B60" s="180"/>
      <c r="C60" s="180"/>
      <c r="D60" s="180"/>
      <c r="E60" s="180"/>
      <c r="F60" s="180"/>
    </row>
    <row r="61" spans="1:6" ht="15">
      <c r="A61" s="179"/>
      <c r="B61" s="180"/>
      <c r="C61" s="180"/>
      <c r="D61" s="180"/>
      <c r="E61" s="180"/>
      <c r="F61" s="180"/>
    </row>
    <row r="62" spans="1:6" ht="15">
      <c r="A62" s="179"/>
      <c r="B62" s="180"/>
      <c r="C62" s="180"/>
      <c r="D62" s="180"/>
      <c r="E62" s="180"/>
      <c r="F62" s="180"/>
    </row>
    <row r="63" spans="1:6" ht="15">
      <c r="A63" s="179"/>
      <c r="B63" s="180"/>
      <c r="C63" s="180"/>
      <c r="D63" s="180"/>
      <c r="E63" s="180"/>
      <c r="F63" s="180"/>
    </row>
    <row r="64" spans="1:6" ht="15">
      <c r="A64" s="179"/>
      <c r="B64" s="180"/>
      <c r="C64" s="180"/>
      <c r="D64" s="180"/>
      <c r="E64" s="180"/>
      <c r="F64" s="180"/>
    </row>
    <row r="65" spans="1:6" ht="15">
      <c r="A65" s="179"/>
      <c r="B65" s="180"/>
      <c r="C65" s="180"/>
      <c r="D65" s="180"/>
      <c r="E65" s="180"/>
      <c r="F65" s="180"/>
    </row>
    <row r="66" spans="1:6" ht="15">
      <c r="A66" s="179"/>
      <c r="B66" s="180"/>
      <c r="C66" s="180"/>
      <c r="D66" s="180"/>
      <c r="E66" s="180"/>
      <c r="F66" s="180"/>
    </row>
    <row r="67" spans="1:6" ht="15">
      <c r="A67" s="179"/>
      <c r="B67" s="180"/>
      <c r="C67" s="180"/>
      <c r="D67" s="180"/>
      <c r="E67" s="180"/>
      <c r="F67" s="180"/>
    </row>
    <row r="68" spans="1:6" ht="15">
      <c r="A68" s="179"/>
      <c r="B68" s="180"/>
      <c r="C68" s="180"/>
      <c r="D68" s="180"/>
      <c r="E68" s="180"/>
      <c r="F68" s="180"/>
    </row>
    <row r="69" spans="1:6" ht="15">
      <c r="A69" s="179"/>
      <c r="B69" s="180"/>
      <c r="C69" s="180"/>
      <c r="D69" s="180"/>
      <c r="E69" s="180"/>
      <c r="F69" s="180"/>
    </row>
    <row r="70" spans="1:6" ht="15">
      <c r="A70" s="179"/>
      <c r="B70" s="180"/>
      <c r="C70" s="180"/>
      <c r="D70" s="180"/>
      <c r="E70" s="180"/>
      <c r="F70" s="180"/>
    </row>
    <row r="71" spans="1:6" ht="15">
      <c r="A71" s="179"/>
      <c r="B71" s="180"/>
      <c r="C71" s="180"/>
      <c r="D71" s="180"/>
      <c r="E71" s="180"/>
      <c r="F71" s="180"/>
    </row>
    <row r="72" spans="1:6" ht="15">
      <c r="A72" s="179"/>
      <c r="B72" s="180"/>
      <c r="C72" s="180"/>
      <c r="D72" s="180"/>
      <c r="E72" s="180"/>
      <c r="F72" s="180"/>
    </row>
    <row r="73" spans="1:6" ht="15">
      <c r="A73" s="179"/>
      <c r="B73" s="180"/>
      <c r="C73" s="180"/>
      <c r="D73" s="180"/>
      <c r="E73" s="180"/>
      <c r="F73" s="180"/>
    </row>
    <row r="74" spans="1:6" ht="15">
      <c r="A74" s="179"/>
      <c r="B74" s="180"/>
      <c r="C74" s="180"/>
      <c r="D74" s="180"/>
      <c r="E74" s="180"/>
      <c r="F74" s="180"/>
    </row>
    <row r="75" spans="1:6" ht="15">
      <c r="A75" s="179"/>
      <c r="B75" s="180"/>
      <c r="C75" s="180"/>
      <c r="D75" s="180"/>
      <c r="E75" s="180"/>
      <c r="F75" s="180"/>
    </row>
    <row r="76" spans="1:6" ht="15">
      <c r="A76" s="179"/>
      <c r="B76" s="180"/>
      <c r="C76" s="180"/>
      <c r="D76" s="180"/>
      <c r="E76" s="180"/>
      <c r="F76" s="180"/>
    </row>
    <row r="77" spans="1:6" ht="15">
      <c r="A77" s="179"/>
      <c r="B77" s="180"/>
      <c r="C77" s="180"/>
      <c r="D77" s="180"/>
      <c r="E77" s="180"/>
      <c r="F77" s="180"/>
    </row>
    <row r="78" spans="1:6" ht="15">
      <c r="A78" s="179"/>
      <c r="B78" s="180"/>
      <c r="C78" s="180"/>
      <c r="D78" s="180"/>
      <c r="E78" s="180"/>
      <c r="F78" s="180"/>
    </row>
    <row r="79" spans="1:6" ht="15">
      <c r="A79" s="179"/>
      <c r="B79" s="180"/>
      <c r="C79" s="180"/>
      <c r="D79" s="180"/>
      <c r="E79" s="180"/>
      <c r="F79" s="180"/>
    </row>
    <row r="80" spans="1:6" ht="15">
      <c r="A80" s="179"/>
      <c r="B80" s="180"/>
      <c r="C80" s="180"/>
      <c r="D80" s="180"/>
      <c r="E80" s="180"/>
      <c r="F80" s="180"/>
    </row>
    <row r="81" spans="1:6" ht="15">
      <c r="A81" s="179"/>
      <c r="B81" s="180"/>
      <c r="C81" s="180"/>
      <c r="D81" s="180"/>
      <c r="E81" s="180"/>
      <c r="F81" s="180"/>
    </row>
    <row r="82" spans="1:6" ht="15">
      <c r="A82" s="179"/>
      <c r="B82" s="180"/>
      <c r="C82" s="180"/>
      <c r="D82" s="180"/>
      <c r="E82" s="180"/>
      <c r="F82" s="180"/>
    </row>
    <row r="83" spans="1:6" ht="15">
      <c r="A83" s="179"/>
      <c r="B83" s="180"/>
      <c r="C83" s="180"/>
      <c r="D83" s="180"/>
      <c r="E83" s="180"/>
      <c r="F83" s="180"/>
    </row>
    <row r="84" spans="1:6" ht="15">
      <c r="A84" s="179"/>
      <c r="B84" s="180"/>
      <c r="C84" s="180"/>
      <c r="D84" s="180"/>
      <c r="E84" s="180"/>
      <c r="F84" s="180"/>
    </row>
    <row r="85" spans="1:6" ht="15">
      <c r="A85" s="179"/>
      <c r="B85" s="180"/>
      <c r="C85" s="180"/>
      <c r="D85" s="180"/>
      <c r="E85" s="180"/>
      <c r="F85" s="180"/>
    </row>
    <row r="86" spans="1:6" ht="15">
      <c r="A86" s="179"/>
      <c r="B86" s="180"/>
      <c r="C86" s="180"/>
      <c r="D86" s="180"/>
      <c r="E86" s="180"/>
      <c r="F86" s="180"/>
    </row>
    <row r="87" spans="1:6" ht="15">
      <c r="A87" s="179"/>
      <c r="B87" s="180"/>
      <c r="C87" s="180"/>
      <c r="D87" s="180"/>
      <c r="E87" s="180"/>
      <c r="F87" s="180"/>
    </row>
    <row r="88" spans="1:6" ht="15">
      <c r="A88" s="179"/>
      <c r="B88" s="180"/>
      <c r="C88" s="180"/>
      <c r="D88" s="180"/>
      <c r="E88" s="180"/>
      <c r="F88" s="180"/>
    </row>
    <row r="89" spans="1:6" ht="15">
      <c r="A89" s="179"/>
      <c r="B89" s="180"/>
      <c r="C89" s="180"/>
      <c r="D89" s="180"/>
      <c r="E89" s="180"/>
      <c r="F89" s="180"/>
    </row>
    <row r="90" spans="1:6" ht="15">
      <c r="A90" s="179"/>
      <c r="B90" s="180"/>
      <c r="C90" s="180"/>
      <c r="D90" s="180"/>
      <c r="E90" s="180"/>
      <c r="F90" s="180"/>
    </row>
    <row r="91" spans="1:6" ht="15">
      <c r="A91" s="179"/>
      <c r="B91" s="180"/>
      <c r="C91" s="180"/>
      <c r="D91" s="180"/>
      <c r="E91" s="180"/>
      <c r="F91" s="180"/>
    </row>
    <row r="92" spans="1:6" ht="15">
      <c r="A92" s="179"/>
      <c r="B92" s="180"/>
      <c r="C92" s="180"/>
      <c r="D92" s="180"/>
      <c r="E92" s="180"/>
      <c r="F92" s="180"/>
    </row>
    <row r="93" spans="1:6" ht="15">
      <c r="A93" s="179"/>
      <c r="B93" s="180"/>
      <c r="C93" s="180"/>
      <c r="D93" s="180"/>
      <c r="E93" s="180"/>
      <c r="F93" s="180"/>
    </row>
    <row r="94" spans="1:6" ht="15">
      <c r="A94" s="179"/>
      <c r="B94" s="180"/>
      <c r="C94" s="180"/>
      <c r="D94" s="180"/>
      <c r="E94" s="180"/>
      <c r="F94" s="180"/>
    </row>
    <row r="95" spans="1:6" ht="15">
      <c r="A95" s="179"/>
      <c r="B95" s="180"/>
      <c r="C95" s="180"/>
      <c r="D95" s="180"/>
      <c r="E95" s="180"/>
      <c r="F95" s="180"/>
    </row>
    <row r="96" spans="1:6" ht="15">
      <c r="A96" s="179"/>
      <c r="B96" s="180"/>
      <c r="C96" s="180"/>
      <c r="D96" s="180"/>
      <c r="E96" s="180"/>
      <c r="F96" s="180"/>
    </row>
    <row r="97" spans="1:6" ht="15">
      <c r="A97" s="179"/>
      <c r="B97" s="180"/>
      <c r="C97" s="180"/>
      <c r="D97" s="180"/>
      <c r="E97" s="180"/>
      <c r="F97" s="180"/>
    </row>
    <row r="98" spans="1:6" ht="15">
      <c r="A98" s="179"/>
      <c r="B98" s="180"/>
      <c r="C98" s="180"/>
      <c r="D98" s="180"/>
      <c r="E98" s="180"/>
      <c r="F98" s="180"/>
    </row>
    <row r="99" spans="1:6" ht="15">
      <c r="A99" s="179"/>
      <c r="B99" s="180"/>
      <c r="C99" s="180"/>
      <c r="D99" s="180"/>
      <c r="E99" s="180"/>
      <c r="F99" s="180"/>
    </row>
    <row r="100" spans="1:6" ht="15">
      <c r="A100" s="179"/>
      <c r="B100" s="180"/>
      <c r="C100" s="180"/>
      <c r="D100" s="180"/>
      <c r="E100" s="180"/>
      <c r="F100" s="180"/>
    </row>
    <row r="101" spans="1:6" ht="15">
      <c r="A101" s="179"/>
      <c r="B101" s="180"/>
      <c r="C101" s="180"/>
      <c r="D101" s="180"/>
      <c r="E101" s="180"/>
      <c r="F101" s="180"/>
    </row>
    <row r="102" spans="1:6" ht="15">
      <c r="A102" s="179"/>
      <c r="B102" s="180"/>
      <c r="C102" s="180"/>
      <c r="D102" s="180"/>
      <c r="E102" s="180"/>
      <c r="F102" s="180"/>
    </row>
    <row r="103" spans="1:6" ht="15">
      <c r="A103" s="179"/>
      <c r="B103" s="180"/>
      <c r="C103" s="180"/>
      <c r="D103" s="180"/>
      <c r="E103" s="180"/>
      <c r="F103" s="180"/>
    </row>
    <row r="104" spans="1:6" ht="15">
      <c r="A104" s="179"/>
      <c r="B104" s="180"/>
      <c r="C104" s="180"/>
      <c r="D104" s="180"/>
      <c r="E104" s="180"/>
      <c r="F104" s="180"/>
    </row>
    <row r="105" spans="1:6" ht="15">
      <c r="A105" s="179"/>
      <c r="B105" s="180"/>
      <c r="C105" s="180"/>
      <c r="D105" s="180"/>
      <c r="E105" s="180"/>
      <c r="F105" s="180"/>
    </row>
    <row r="106" spans="1:6" ht="15">
      <c r="A106" s="179"/>
      <c r="B106" s="180"/>
      <c r="C106" s="180"/>
      <c r="D106" s="180"/>
      <c r="E106" s="180"/>
      <c r="F106" s="180"/>
    </row>
    <row r="107" spans="1:6" ht="15">
      <c r="A107" s="179"/>
      <c r="B107" s="180"/>
      <c r="C107" s="180"/>
      <c r="D107" s="180"/>
      <c r="E107" s="180"/>
      <c r="F107" s="180"/>
    </row>
    <row r="108" spans="1:6" ht="15">
      <c r="A108" s="179"/>
      <c r="B108" s="180"/>
      <c r="C108" s="180"/>
      <c r="D108" s="180"/>
      <c r="E108" s="180"/>
      <c r="F108" s="180"/>
    </row>
    <row r="109" spans="1:6" ht="15">
      <c r="A109" s="179"/>
      <c r="B109" s="180"/>
      <c r="C109" s="180"/>
      <c r="D109" s="180"/>
      <c r="E109" s="180"/>
      <c r="F109" s="180"/>
    </row>
    <row r="110" spans="1:6" ht="15">
      <c r="A110" s="179"/>
      <c r="B110" s="180"/>
      <c r="C110" s="180"/>
      <c r="D110" s="180"/>
      <c r="E110" s="180"/>
      <c r="F110" s="180"/>
    </row>
    <row r="111" spans="1:6" ht="15">
      <c r="A111" s="179"/>
      <c r="B111" s="180"/>
      <c r="C111" s="180"/>
      <c r="D111" s="180"/>
      <c r="E111" s="180"/>
      <c r="F111" s="180"/>
    </row>
    <row r="112" spans="1:6" ht="15">
      <c r="A112" s="179"/>
      <c r="B112" s="180"/>
      <c r="C112" s="180"/>
      <c r="D112" s="180"/>
      <c r="E112" s="180"/>
      <c r="F112" s="180"/>
    </row>
    <row r="113" spans="1:6" ht="15">
      <c r="A113" s="179"/>
      <c r="B113" s="180"/>
      <c r="C113" s="180"/>
      <c r="D113" s="180"/>
      <c r="E113" s="180"/>
      <c r="F113" s="180"/>
    </row>
    <row r="114" spans="1:6" ht="15">
      <c r="A114" s="179"/>
      <c r="B114" s="180"/>
      <c r="C114" s="180"/>
      <c r="D114" s="180"/>
      <c r="E114" s="180"/>
      <c r="F114" s="180"/>
    </row>
    <row r="115" spans="1:6" ht="15">
      <c r="A115" s="179"/>
      <c r="B115" s="180"/>
      <c r="C115" s="180"/>
      <c r="D115" s="180"/>
      <c r="E115" s="180"/>
      <c r="F115" s="180"/>
    </row>
    <row r="116" spans="1:6" ht="15">
      <c r="A116" s="179"/>
      <c r="B116" s="180"/>
      <c r="C116" s="180"/>
      <c r="D116" s="180"/>
      <c r="E116" s="180"/>
      <c r="F116" s="180"/>
    </row>
    <row r="117" spans="1:6" ht="15">
      <c r="A117" s="179"/>
      <c r="B117" s="180"/>
      <c r="C117" s="180"/>
      <c r="D117" s="180"/>
      <c r="E117" s="180"/>
      <c r="F117" s="180"/>
    </row>
    <row r="118" spans="1:6" ht="15">
      <c r="A118" s="179"/>
      <c r="B118" s="180"/>
      <c r="C118" s="180"/>
      <c r="D118" s="180"/>
      <c r="E118" s="180"/>
      <c r="F118" s="180"/>
    </row>
    <row r="119" spans="1:6" ht="15">
      <c r="A119" s="179"/>
      <c r="B119" s="180"/>
      <c r="C119" s="180"/>
      <c r="D119" s="180"/>
      <c r="E119" s="180"/>
      <c r="F119" s="180"/>
    </row>
    <row r="120" spans="1:6" ht="15">
      <c r="A120" s="179"/>
      <c r="B120" s="180"/>
      <c r="C120" s="180"/>
      <c r="D120" s="180"/>
      <c r="E120" s="180"/>
      <c r="F120" s="180"/>
    </row>
    <row r="121" spans="1:6" ht="15">
      <c r="A121" s="179"/>
      <c r="B121" s="180"/>
      <c r="C121" s="180"/>
      <c r="D121" s="180"/>
      <c r="E121" s="180"/>
      <c r="F121" s="180"/>
    </row>
    <row r="122" spans="1:6" ht="15">
      <c r="A122" s="179"/>
      <c r="B122" s="180"/>
      <c r="C122" s="180"/>
      <c r="D122" s="180"/>
      <c r="E122" s="180"/>
      <c r="F122" s="180"/>
    </row>
    <row r="123" spans="1:6" ht="15">
      <c r="A123" s="179"/>
      <c r="B123" s="180"/>
      <c r="C123" s="180"/>
      <c r="D123" s="180"/>
      <c r="E123" s="180"/>
      <c r="F123" s="180"/>
    </row>
    <row r="124" spans="1:6" ht="15">
      <c r="A124" s="179"/>
      <c r="B124" s="180"/>
      <c r="C124" s="180"/>
      <c r="D124" s="180"/>
      <c r="E124" s="180"/>
      <c r="F124" s="180"/>
    </row>
    <row r="125" spans="1:6" ht="15">
      <c r="A125" s="179"/>
      <c r="B125" s="180"/>
      <c r="C125" s="180"/>
      <c r="D125" s="180"/>
      <c r="E125" s="180"/>
      <c r="F125" s="180"/>
    </row>
    <row r="126" spans="1:6" ht="15">
      <c r="A126" s="179"/>
      <c r="B126" s="180"/>
      <c r="C126" s="180"/>
      <c r="D126" s="180"/>
      <c r="E126" s="180"/>
      <c r="F126" s="180"/>
    </row>
    <row r="127" spans="1:6" ht="15">
      <c r="A127" s="179"/>
      <c r="B127" s="180"/>
      <c r="C127" s="180"/>
      <c r="D127" s="180"/>
      <c r="E127" s="180"/>
      <c r="F127" s="180"/>
    </row>
    <row r="128" spans="1:6" ht="15">
      <c r="A128" s="179"/>
      <c r="B128" s="180"/>
      <c r="C128" s="180"/>
      <c r="D128" s="180"/>
      <c r="E128" s="180"/>
      <c r="F128" s="180"/>
    </row>
    <row r="129" spans="1:6" ht="15">
      <c r="A129" s="179"/>
      <c r="B129" s="180"/>
      <c r="C129" s="180"/>
      <c r="D129" s="180"/>
      <c r="E129" s="180"/>
      <c r="F129" s="180"/>
    </row>
    <row r="130" spans="1:6" ht="15">
      <c r="A130" s="179"/>
      <c r="B130" s="180"/>
      <c r="C130" s="180"/>
      <c r="D130" s="180"/>
      <c r="E130" s="180"/>
      <c r="F130" s="180"/>
    </row>
    <row r="131" spans="1:6" ht="15">
      <c r="A131" s="179"/>
      <c r="B131" s="180"/>
      <c r="C131" s="180"/>
      <c r="D131" s="180"/>
      <c r="E131" s="180"/>
      <c r="F131" s="180"/>
    </row>
    <row r="132" spans="1:6" ht="15">
      <c r="A132" s="179"/>
      <c r="B132" s="180"/>
      <c r="C132" s="180"/>
      <c r="D132" s="180"/>
      <c r="E132" s="180"/>
      <c r="F132" s="180"/>
    </row>
    <row r="133" spans="1:6" ht="15">
      <c r="A133" s="179"/>
      <c r="B133" s="180"/>
      <c r="C133" s="180"/>
      <c r="D133" s="180"/>
      <c r="E133" s="180"/>
      <c r="F133" s="180"/>
    </row>
    <row r="134" spans="1:6" ht="15">
      <c r="A134" s="179"/>
      <c r="B134" s="180"/>
      <c r="C134" s="180"/>
      <c r="D134" s="180"/>
      <c r="E134" s="180"/>
      <c r="F134" s="180"/>
    </row>
    <row r="135" spans="1:6" ht="15">
      <c r="A135" s="179"/>
      <c r="B135" s="180"/>
      <c r="C135" s="180"/>
      <c r="D135" s="180"/>
      <c r="E135" s="180"/>
      <c r="F135" s="180"/>
    </row>
    <row r="136" spans="1:6" ht="15">
      <c r="A136" s="179"/>
      <c r="B136" s="180"/>
      <c r="C136" s="180"/>
      <c r="D136" s="180"/>
      <c r="E136" s="180"/>
      <c r="F136" s="180"/>
    </row>
    <row r="137" spans="1:6" ht="15">
      <c r="A137" s="179"/>
      <c r="B137" s="180"/>
      <c r="C137" s="180"/>
      <c r="D137" s="180"/>
      <c r="E137" s="180"/>
      <c r="F137" s="180"/>
    </row>
    <row r="138" spans="1:6" ht="15">
      <c r="A138" s="179"/>
      <c r="B138" s="180"/>
      <c r="C138" s="180"/>
      <c r="D138" s="180"/>
      <c r="E138" s="180"/>
      <c r="F138" s="180"/>
    </row>
    <row r="139" spans="1:6" ht="15">
      <c r="A139" s="179"/>
      <c r="B139" s="180"/>
      <c r="C139" s="180"/>
      <c r="D139" s="180"/>
      <c r="E139" s="180"/>
      <c r="F139" s="180"/>
    </row>
    <row r="140" spans="1:6" ht="15">
      <c r="A140" s="179"/>
      <c r="B140" s="180"/>
      <c r="C140" s="180"/>
      <c r="D140" s="180"/>
      <c r="E140" s="180"/>
      <c r="F140" s="180"/>
    </row>
    <row r="141" spans="1:6" ht="15">
      <c r="A141" s="179"/>
      <c r="B141" s="180"/>
      <c r="C141" s="180"/>
      <c r="D141" s="180"/>
      <c r="E141" s="180"/>
      <c r="F141" s="180"/>
    </row>
    <row r="142" spans="1:6" ht="15">
      <c r="A142" s="179"/>
      <c r="B142" s="180"/>
      <c r="C142" s="180"/>
      <c r="D142" s="180"/>
      <c r="E142" s="180"/>
      <c r="F142" s="180"/>
    </row>
    <row r="143" spans="1:6" ht="15">
      <c r="A143" s="179"/>
      <c r="B143" s="180"/>
      <c r="C143" s="180"/>
      <c r="D143" s="180"/>
      <c r="E143" s="180"/>
      <c r="F143" s="180"/>
    </row>
    <row r="144" spans="1:6" ht="15">
      <c r="A144" s="179"/>
      <c r="B144" s="180"/>
      <c r="C144" s="180"/>
      <c r="D144" s="180"/>
      <c r="E144" s="180"/>
      <c r="F144" s="180"/>
    </row>
    <row r="145" spans="1:6" ht="15">
      <c r="A145" s="179"/>
      <c r="B145" s="180"/>
      <c r="C145" s="180"/>
      <c r="D145" s="180"/>
      <c r="E145" s="180"/>
      <c r="F145" s="180"/>
    </row>
    <row r="146" spans="1:6" ht="15">
      <c r="A146" s="179"/>
      <c r="B146" s="180"/>
      <c r="C146" s="180"/>
      <c r="D146" s="180"/>
      <c r="E146" s="180"/>
      <c r="F146" s="180"/>
    </row>
    <row r="147" spans="1:6" ht="15">
      <c r="A147" s="179"/>
      <c r="B147" s="180"/>
      <c r="C147" s="180"/>
      <c r="D147" s="180"/>
      <c r="E147" s="180"/>
      <c r="F147" s="180"/>
    </row>
    <row r="148" spans="1:6" ht="15">
      <c r="A148" s="179"/>
      <c r="B148" s="180"/>
      <c r="C148" s="180"/>
      <c r="D148" s="180"/>
      <c r="E148" s="180"/>
      <c r="F148" s="180"/>
    </row>
    <row r="149" spans="1:6" ht="15">
      <c r="A149" s="179"/>
      <c r="B149" s="180"/>
      <c r="C149" s="180"/>
      <c r="D149" s="180"/>
      <c r="E149" s="180"/>
      <c r="F149" s="180"/>
    </row>
    <row r="150" spans="1:6" ht="15">
      <c r="A150" s="179"/>
      <c r="B150" s="180"/>
      <c r="C150" s="180"/>
      <c r="D150" s="180"/>
      <c r="E150" s="180"/>
      <c r="F150" s="180"/>
    </row>
    <row r="151" spans="1:6" ht="15">
      <c r="A151" s="179"/>
      <c r="B151" s="180"/>
      <c r="C151" s="180"/>
      <c r="D151" s="180"/>
      <c r="E151" s="180"/>
      <c r="F151" s="180"/>
    </row>
    <row r="152" spans="1:6" ht="15">
      <c r="A152" s="179"/>
      <c r="B152" s="180"/>
      <c r="C152" s="180"/>
      <c r="D152" s="180"/>
      <c r="E152" s="180"/>
      <c r="F152" s="180"/>
    </row>
    <row r="153" spans="1:6" ht="15">
      <c r="A153" s="179"/>
      <c r="B153" s="180"/>
      <c r="C153" s="180"/>
      <c r="D153" s="180"/>
      <c r="E153" s="180"/>
      <c r="F153" s="180"/>
    </row>
    <row r="154" spans="1:6" ht="15">
      <c r="A154" s="179"/>
      <c r="B154" s="180"/>
      <c r="C154" s="180"/>
      <c r="D154" s="180"/>
      <c r="E154" s="180"/>
      <c r="F154" s="180"/>
    </row>
    <row r="155" spans="1:6" ht="15">
      <c r="A155" s="179"/>
      <c r="B155" s="180"/>
      <c r="C155" s="180"/>
      <c r="D155" s="180"/>
      <c r="E155" s="180"/>
      <c r="F155" s="180"/>
    </row>
    <row r="156" spans="1:6" ht="15">
      <c r="A156" s="179"/>
      <c r="B156" s="180"/>
      <c r="C156" s="180"/>
      <c r="D156" s="180"/>
      <c r="E156" s="180"/>
      <c r="F156" s="180"/>
    </row>
    <row r="157" spans="1:6" ht="15">
      <c r="A157" s="179"/>
      <c r="B157" s="180"/>
      <c r="C157" s="180"/>
      <c r="D157" s="180"/>
      <c r="E157" s="180"/>
      <c r="F157" s="180"/>
    </row>
    <row r="158" spans="1:6" ht="15">
      <c r="A158" s="179"/>
      <c r="B158" s="180"/>
      <c r="C158" s="180"/>
      <c r="D158" s="180"/>
      <c r="E158" s="180"/>
      <c r="F158" s="180"/>
    </row>
    <row r="159" spans="1:6" ht="15">
      <c r="A159" s="179"/>
      <c r="B159" s="180"/>
      <c r="C159" s="180"/>
      <c r="D159" s="180"/>
      <c r="E159" s="180"/>
      <c r="F159" s="180"/>
    </row>
    <row r="160" spans="1:6" ht="15">
      <c r="A160" s="179"/>
      <c r="B160" s="180"/>
      <c r="C160" s="180"/>
      <c r="D160" s="180"/>
      <c r="E160" s="180"/>
      <c r="F160" s="180"/>
    </row>
    <row r="161" spans="1:6" ht="15">
      <c r="A161" s="179"/>
      <c r="B161" s="180"/>
      <c r="C161" s="180"/>
      <c r="D161" s="180"/>
      <c r="E161" s="180"/>
      <c r="F161" s="180"/>
    </row>
    <row r="162" spans="1:6" ht="15">
      <c r="A162" s="179"/>
      <c r="B162" s="180"/>
      <c r="C162" s="180"/>
      <c r="D162" s="180"/>
      <c r="E162" s="180"/>
      <c r="F162" s="180"/>
    </row>
    <row r="163" spans="1:6" ht="15">
      <c r="A163" s="179"/>
      <c r="B163" s="180"/>
      <c r="C163" s="180"/>
      <c r="D163" s="180"/>
      <c r="E163" s="180"/>
      <c r="F163" s="180"/>
    </row>
    <row r="164" spans="1:6" ht="15">
      <c r="A164" s="179"/>
      <c r="B164" s="180"/>
      <c r="C164" s="180"/>
      <c r="D164" s="180"/>
      <c r="E164" s="180"/>
      <c r="F164" s="180"/>
    </row>
    <row r="165" spans="1:6" ht="15">
      <c r="A165" s="179"/>
      <c r="B165" s="180"/>
      <c r="C165" s="180"/>
      <c r="D165" s="180"/>
      <c r="E165" s="180"/>
      <c r="F165" s="180"/>
    </row>
    <row r="166" spans="1:6" ht="15">
      <c r="A166" s="179"/>
      <c r="B166" s="180"/>
      <c r="C166" s="180"/>
      <c r="D166" s="180"/>
      <c r="E166" s="180"/>
      <c r="F166" s="180"/>
    </row>
    <row r="167" spans="1:6" ht="15">
      <c r="A167" s="179"/>
      <c r="B167" s="180"/>
      <c r="C167" s="180"/>
      <c r="D167" s="180"/>
      <c r="E167" s="180"/>
      <c r="F167" s="180"/>
    </row>
    <row r="168" spans="1:6" ht="15">
      <c r="A168" s="179"/>
      <c r="B168" s="180"/>
      <c r="C168" s="180"/>
      <c r="D168" s="180"/>
      <c r="E168" s="180"/>
      <c r="F168" s="180"/>
    </row>
    <row r="169" spans="1:6" ht="15">
      <c r="A169" s="179"/>
      <c r="B169" s="180"/>
      <c r="C169" s="180"/>
      <c r="D169" s="180"/>
      <c r="E169" s="180"/>
      <c r="F169" s="180"/>
    </row>
    <row r="170" spans="1:6" ht="15">
      <c r="A170" s="179"/>
      <c r="B170" s="180"/>
      <c r="C170" s="180"/>
      <c r="D170" s="180"/>
      <c r="E170" s="180"/>
      <c r="F170" s="180"/>
    </row>
    <row r="171" spans="1:6" ht="15">
      <c r="A171" s="179"/>
      <c r="B171" s="180"/>
      <c r="C171" s="180"/>
      <c r="D171" s="180"/>
      <c r="E171" s="180"/>
      <c r="F171" s="180"/>
    </row>
    <row r="172" spans="1:6" ht="15">
      <c r="A172" s="179"/>
      <c r="B172" s="180"/>
      <c r="C172" s="180"/>
      <c r="D172" s="180"/>
      <c r="E172" s="180"/>
      <c r="F172" s="180"/>
    </row>
    <row r="173" spans="1:6" ht="15">
      <c r="A173" s="179"/>
      <c r="B173" s="180"/>
      <c r="C173" s="180"/>
      <c r="D173" s="180"/>
      <c r="E173" s="180"/>
      <c r="F173" s="180"/>
    </row>
    <row r="174" spans="1:6" ht="15">
      <c r="A174" s="179"/>
      <c r="B174" s="180"/>
      <c r="C174" s="180"/>
      <c r="D174" s="180"/>
      <c r="E174" s="180"/>
      <c r="F174" s="180"/>
    </row>
    <row r="175" spans="1:6" ht="15">
      <c r="A175" s="179"/>
      <c r="B175" s="180"/>
      <c r="C175" s="180"/>
      <c r="D175" s="180"/>
      <c r="E175" s="180"/>
      <c r="F175" s="180"/>
    </row>
    <row r="176" spans="1:6" ht="15">
      <c r="A176" s="179"/>
      <c r="B176" s="180"/>
      <c r="C176" s="180"/>
      <c r="D176" s="180"/>
      <c r="E176" s="180"/>
      <c r="F176" s="180"/>
    </row>
    <row r="177" spans="1:6" ht="15">
      <c r="A177" s="179"/>
      <c r="B177" s="180"/>
      <c r="C177" s="180"/>
      <c r="D177" s="180"/>
      <c r="E177" s="180"/>
      <c r="F177" s="180"/>
    </row>
    <row r="178" spans="1:6" ht="15">
      <c r="A178" s="179"/>
      <c r="B178" s="180"/>
      <c r="C178" s="180"/>
      <c r="D178" s="180"/>
      <c r="E178" s="180"/>
      <c r="F178" s="180"/>
    </row>
    <row r="179" spans="1:6" ht="15">
      <c r="A179" s="179"/>
      <c r="B179" s="180"/>
      <c r="C179" s="180"/>
      <c r="D179" s="180"/>
      <c r="E179" s="180"/>
      <c r="F179" s="180"/>
    </row>
    <row r="180" spans="1:6" ht="15">
      <c r="A180" s="179"/>
      <c r="B180" s="180"/>
      <c r="C180" s="180"/>
      <c r="D180" s="180"/>
      <c r="E180" s="180"/>
      <c r="F180" s="180"/>
    </row>
    <row r="181" spans="1:6" ht="15">
      <c r="A181" s="179"/>
      <c r="B181" s="180"/>
      <c r="C181" s="180"/>
      <c r="D181" s="180"/>
      <c r="E181" s="180"/>
      <c r="F181" s="180"/>
    </row>
    <row r="182" spans="1:6" ht="15">
      <c r="A182" s="179"/>
      <c r="B182" s="180"/>
      <c r="C182" s="180"/>
      <c r="D182" s="180"/>
      <c r="E182" s="180"/>
      <c r="F182" s="180"/>
    </row>
    <row r="183" spans="1:6" ht="15">
      <c r="A183" s="179"/>
      <c r="B183" s="180"/>
      <c r="C183" s="180"/>
      <c r="D183" s="180"/>
      <c r="E183" s="180"/>
      <c r="F183" s="180"/>
    </row>
    <row r="184" spans="1:6" ht="15">
      <c r="A184" s="179"/>
      <c r="B184" s="180"/>
      <c r="C184" s="180"/>
      <c r="D184" s="180"/>
      <c r="E184" s="180"/>
      <c r="F184" s="180"/>
    </row>
    <row r="185" spans="1:6" ht="15">
      <c r="A185" s="179"/>
      <c r="B185" s="180"/>
      <c r="C185" s="180"/>
      <c r="D185" s="180"/>
      <c r="E185" s="180"/>
      <c r="F185" s="180"/>
    </row>
    <row r="186" spans="1:6" ht="15">
      <c r="A186" s="179"/>
      <c r="B186" s="180"/>
      <c r="C186" s="180"/>
      <c r="D186" s="180"/>
      <c r="E186" s="180"/>
      <c r="F186" s="180"/>
    </row>
    <row r="187" spans="1:6" ht="15">
      <c r="A187" s="179"/>
      <c r="B187" s="180"/>
      <c r="C187" s="180"/>
      <c r="D187" s="180"/>
      <c r="E187" s="180"/>
      <c r="F187" s="180"/>
    </row>
    <row r="188" spans="1:6" ht="15">
      <c r="A188" s="179"/>
      <c r="B188" s="180"/>
      <c r="C188" s="180"/>
      <c r="D188" s="180"/>
      <c r="E188" s="180"/>
      <c r="F188" s="180"/>
    </row>
    <row r="189" spans="1:6" ht="15">
      <c r="A189" s="179"/>
      <c r="B189" s="180"/>
      <c r="C189" s="180"/>
      <c r="D189" s="180"/>
      <c r="E189" s="180"/>
      <c r="F189" s="180"/>
    </row>
    <row r="190" spans="1:6" ht="15">
      <c r="A190" s="179"/>
      <c r="B190" s="180"/>
      <c r="C190" s="180"/>
      <c r="D190" s="180"/>
      <c r="E190" s="180"/>
      <c r="F190" s="180"/>
    </row>
    <row r="191" spans="1:6" ht="15">
      <c r="A191" s="179"/>
      <c r="B191" s="180"/>
      <c r="C191" s="180"/>
      <c r="D191" s="180"/>
      <c r="E191" s="180"/>
      <c r="F191" s="180"/>
    </row>
    <row r="192" spans="1:6" ht="15">
      <c r="A192" s="179"/>
      <c r="B192" s="180"/>
      <c r="C192" s="180"/>
      <c r="D192" s="180"/>
      <c r="E192" s="180"/>
      <c r="F192" s="180"/>
    </row>
    <row r="193" spans="1:6" ht="15">
      <c r="A193" s="179"/>
      <c r="B193" s="180"/>
      <c r="C193" s="180"/>
      <c r="D193" s="180"/>
      <c r="E193" s="180"/>
      <c r="F193" s="180"/>
    </row>
    <row r="194" spans="1:6" ht="15">
      <c r="A194" s="179"/>
      <c r="B194" s="180"/>
      <c r="C194" s="180"/>
      <c r="D194" s="180"/>
      <c r="E194" s="180"/>
      <c r="F194" s="180"/>
    </row>
    <row r="195" spans="1:6" ht="15">
      <c r="A195" s="179"/>
      <c r="B195" s="180"/>
      <c r="C195" s="180"/>
      <c r="D195" s="180"/>
      <c r="E195" s="180"/>
      <c r="F195" s="180"/>
    </row>
    <row r="196" spans="1:6" ht="15">
      <c r="A196" s="179"/>
      <c r="B196" s="180"/>
      <c r="C196" s="180"/>
      <c r="D196" s="180"/>
      <c r="E196" s="180"/>
      <c r="F196" s="180"/>
    </row>
    <row r="197" spans="1:6" ht="15">
      <c r="A197" s="179"/>
      <c r="B197" s="180"/>
      <c r="C197" s="180"/>
      <c r="D197" s="180"/>
      <c r="E197" s="180"/>
      <c r="F197" s="180"/>
    </row>
    <row r="198" spans="1:6" ht="15">
      <c r="A198" s="179"/>
      <c r="B198" s="180"/>
      <c r="C198" s="180"/>
      <c r="D198" s="180"/>
      <c r="E198" s="180"/>
      <c r="F198" s="180"/>
    </row>
    <row r="199" spans="1:6" ht="15">
      <c r="A199" s="179"/>
      <c r="B199" s="180"/>
      <c r="C199" s="180"/>
      <c r="D199" s="180"/>
      <c r="E199" s="180"/>
      <c r="F199" s="180"/>
    </row>
    <row r="200" spans="1:6" ht="15">
      <c r="A200" s="179"/>
      <c r="B200" s="180"/>
      <c r="C200" s="180"/>
      <c r="D200" s="180"/>
      <c r="E200" s="180"/>
      <c r="F200" s="180"/>
    </row>
    <row r="201" spans="1:6" ht="15">
      <c r="A201" s="179"/>
      <c r="B201" s="180"/>
      <c r="C201" s="180"/>
      <c r="D201" s="180"/>
      <c r="E201" s="180"/>
      <c r="F201" s="180"/>
    </row>
    <row r="202" spans="1:6" ht="15">
      <c r="A202" s="179"/>
      <c r="B202" s="180"/>
      <c r="C202" s="180"/>
      <c r="D202" s="180"/>
      <c r="E202" s="180"/>
      <c r="F202" s="180"/>
    </row>
    <row r="203" spans="1:6" ht="15">
      <c r="A203" s="179"/>
      <c r="B203" s="180"/>
      <c r="C203" s="180"/>
      <c r="D203" s="180"/>
      <c r="E203" s="180"/>
      <c r="F203" s="180"/>
    </row>
    <row r="204" spans="1:6" ht="15">
      <c r="A204" s="179"/>
      <c r="B204" s="180"/>
      <c r="C204" s="180"/>
      <c r="D204" s="180"/>
      <c r="E204" s="180"/>
      <c r="F204" s="180"/>
    </row>
    <row r="205" spans="1:6" ht="15">
      <c r="A205" s="179"/>
      <c r="B205" s="180"/>
      <c r="C205" s="180"/>
      <c r="D205" s="180"/>
      <c r="E205" s="180"/>
      <c r="F205" s="180"/>
    </row>
    <row r="206" spans="1:6" ht="15">
      <c r="A206" s="179"/>
      <c r="B206" s="180"/>
      <c r="C206" s="180"/>
      <c r="D206" s="180"/>
      <c r="E206" s="180"/>
      <c r="F206" s="180"/>
    </row>
    <row r="207" spans="1:6" ht="15">
      <c r="A207" s="179"/>
      <c r="B207" s="180"/>
      <c r="C207" s="180"/>
      <c r="D207" s="180"/>
      <c r="E207" s="180"/>
      <c r="F207" s="180"/>
    </row>
    <row r="208" spans="1:6" ht="15">
      <c r="A208" s="179"/>
      <c r="B208" s="180"/>
      <c r="C208" s="180"/>
      <c r="D208" s="180"/>
      <c r="E208" s="180"/>
      <c r="F208" s="180"/>
    </row>
    <row r="209" spans="1:6" ht="15">
      <c r="A209" s="179"/>
      <c r="B209" s="180"/>
      <c r="C209" s="180"/>
      <c r="D209" s="180"/>
      <c r="E209" s="180"/>
      <c r="F209" s="180"/>
    </row>
    <row r="210" spans="1:6" ht="15">
      <c r="A210" s="179"/>
      <c r="B210" s="180"/>
      <c r="C210" s="180"/>
      <c r="D210" s="180"/>
      <c r="E210" s="180"/>
      <c r="F210" s="180"/>
    </row>
    <row r="211" spans="1:6" ht="15">
      <c r="A211" s="179"/>
      <c r="B211" s="180"/>
      <c r="C211" s="180"/>
      <c r="D211" s="180"/>
      <c r="E211" s="180"/>
      <c r="F211" s="180"/>
    </row>
    <row r="212" spans="1:6" ht="15">
      <c r="A212" s="179"/>
      <c r="B212" s="180"/>
      <c r="C212" s="180"/>
      <c r="D212" s="180"/>
      <c r="E212" s="180"/>
      <c r="F212" s="180"/>
    </row>
    <row r="213" spans="1:6" ht="15">
      <c r="A213" s="179"/>
      <c r="B213" s="180"/>
      <c r="C213" s="180"/>
      <c r="D213" s="180"/>
      <c r="E213" s="180"/>
      <c r="F213" s="180"/>
    </row>
    <row r="214" spans="1:6" ht="15">
      <c r="A214" s="179"/>
      <c r="B214" s="180"/>
      <c r="C214" s="180"/>
      <c r="D214" s="180"/>
      <c r="E214" s="180"/>
      <c r="F214" s="180"/>
    </row>
    <row r="215" spans="1:6" ht="15">
      <c r="A215" s="179"/>
      <c r="B215" s="180"/>
      <c r="C215" s="180"/>
      <c r="D215" s="180"/>
      <c r="E215" s="180"/>
      <c r="F215" s="180"/>
    </row>
    <row r="216" spans="1:6" ht="15">
      <c r="A216" s="179"/>
      <c r="B216" s="180"/>
      <c r="C216" s="180"/>
      <c r="D216" s="180"/>
      <c r="E216" s="180"/>
      <c r="F216" s="180"/>
    </row>
    <row r="217" spans="1:6" ht="15">
      <c r="A217" s="179"/>
      <c r="B217" s="180"/>
      <c r="C217" s="180"/>
      <c r="D217" s="180"/>
      <c r="E217" s="180"/>
      <c r="F217" s="180"/>
    </row>
    <row r="218" spans="1:6" ht="15">
      <c r="A218" s="179"/>
      <c r="B218" s="180"/>
      <c r="C218" s="180"/>
      <c r="D218" s="180"/>
      <c r="E218" s="180"/>
      <c r="F218" s="180"/>
    </row>
    <row r="219" spans="1:6" ht="15">
      <c r="A219" s="179"/>
      <c r="B219" s="180"/>
      <c r="C219" s="180"/>
      <c r="D219" s="180"/>
      <c r="E219" s="180"/>
      <c r="F219" s="180"/>
    </row>
    <row r="220" spans="1:6" ht="15">
      <c r="A220" s="179"/>
      <c r="B220" s="180"/>
      <c r="C220" s="180"/>
      <c r="D220" s="180"/>
      <c r="E220" s="180"/>
      <c r="F220" s="180"/>
    </row>
    <row r="221" spans="1:6" ht="15">
      <c r="A221" s="179"/>
      <c r="B221" s="180"/>
      <c r="C221" s="180"/>
      <c r="D221" s="180"/>
      <c r="E221" s="180"/>
      <c r="F221" s="180"/>
    </row>
    <row r="222" spans="1:6" ht="15">
      <c r="A222" s="179"/>
      <c r="B222" s="180"/>
      <c r="C222" s="180"/>
      <c r="D222" s="180"/>
      <c r="E222" s="180"/>
      <c r="F222" s="180"/>
    </row>
    <row r="223" spans="1:6" ht="15">
      <c r="A223" s="179"/>
      <c r="B223" s="180"/>
      <c r="C223" s="180"/>
      <c r="D223" s="180"/>
      <c r="E223" s="180"/>
      <c r="F223" s="180"/>
    </row>
    <row r="224" spans="1:6" ht="15">
      <c r="A224" s="179"/>
      <c r="B224" s="180"/>
      <c r="C224" s="180"/>
      <c r="D224" s="180"/>
      <c r="E224" s="180"/>
      <c r="F224" s="180"/>
    </row>
    <row r="225" spans="1:6" ht="15">
      <c r="A225" s="179"/>
      <c r="B225" s="180"/>
      <c r="C225" s="180"/>
      <c r="D225" s="180"/>
      <c r="E225" s="180"/>
      <c r="F225" s="180"/>
    </row>
    <row r="226" spans="1:6" ht="15">
      <c r="A226" s="179"/>
      <c r="B226" s="180"/>
      <c r="C226" s="180"/>
      <c r="D226" s="180"/>
      <c r="E226" s="180"/>
      <c r="F226" s="180"/>
    </row>
    <row r="227" spans="1:6" ht="15">
      <c r="A227" s="179"/>
      <c r="B227" s="180"/>
      <c r="C227" s="180"/>
      <c r="D227" s="180"/>
      <c r="E227" s="180"/>
      <c r="F227" s="180"/>
    </row>
    <row r="228" spans="1:6" ht="15">
      <c r="A228" s="179"/>
      <c r="B228" s="180"/>
      <c r="C228" s="180"/>
      <c r="D228" s="180"/>
      <c r="E228" s="180"/>
      <c r="F228" s="180"/>
    </row>
    <row r="229" spans="1:6" ht="15">
      <c r="A229" s="179"/>
      <c r="B229" s="180"/>
      <c r="C229" s="180"/>
      <c r="D229" s="180"/>
      <c r="E229" s="180"/>
      <c r="F229" s="180"/>
    </row>
    <row r="230" spans="1:6" ht="15">
      <c r="A230" s="179"/>
      <c r="B230" s="180"/>
      <c r="C230" s="180"/>
      <c r="D230" s="180"/>
      <c r="E230" s="180"/>
      <c r="F230" s="180"/>
    </row>
    <row r="231" spans="1:6" ht="15">
      <c r="A231" s="179"/>
      <c r="B231" s="180"/>
      <c r="C231" s="180"/>
      <c r="D231" s="180"/>
      <c r="E231" s="180"/>
      <c r="F231" s="180"/>
    </row>
    <row r="232" spans="1:6" ht="15">
      <c r="A232" s="179"/>
      <c r="B232" s="180"/>
      <c r="C232" s="180"/>
      <c r="D232" s="180"/>
      <c r="E232" s="180"/>
      <c r="F232" s="180"/>
    </row>
    <row r="233" spans="1:6" ht="15">
      <c r="A233" s="179"/>
      <c r="B233" s="180"/>
      <c r="C233" s="180"/>
      <c r="D233" s="180"/>
      <c r="E233" s="180"/>
      <c r="F233" s="180"/>
    </row>
    <row r="234" spans="1:6" ht="15">
      <c r="A234" s="179"/>
      <c r="B234" s="180"/>
      <c r="C234" s="180"/>
      <c r="D234" s="180"/>
      <c r="E234" s="180"/>
      <c r="F234" s="180"/>
    </row>
    <row r="235" spans="1:6" ht="15">
      <c r="A235" s="179"/>
      <c r="B235" s="180"/>
      <c r="C235" s="180"/>
      <c r="D235" s="180"/>
      <c r="E235" s="180"/>
      <c r="F235" s="180"/>
    </row>
    <row r="236" spans="1:6" ht="15">
      <c r="A236" s="179"/>
      <c r="B236" s="180"/>
      <c r="C236" s="180"/>
      <c r="D236" s="180"/>
      <c r="E236" s="180"/>
      <c r="F236" s="180"/>
    </row>
    <row r="237" spans="1:6" ht="15">
      <c r="A237" s="179"/>
      <c r="B237" s="180"/>
      <c r="C237" s="180"/>
      <c r="D237" s="180"/>
      <c r="E237" s="180"/>
      <c r="F237" s="180"/>
    </row>
    <row r="238" spans="1:6" ht="15">
      <c r="A238" s="179"/>
      <c r="B238" s="180"/>
      <c r="C238" s="180"/>
      <c r="D238" s="180"/>
      <c r="E238" s="180"/>
      <c r="F238" s="180"/>
    </row>
    <row r="239" spans="1:6" ht="15">
      <c r="A239" s="179"/>
      <c r="B239" s="180"/>
      <c r="C239" s="180"/>
      <c r="D239" s="180"/>
      <c r="E239" s="180"/>
      <c r="F239" s="180"/>
    </row>
    <row r="240" spans="1:6" ht="15">
      <c r="A240" s="179"/>
      <c r="B240" s="180"/>
      <c r="C240" s="180"/>
      <c r="D240" s="180"/>
      <c r="E240" s="180"/>
      <c r="F240" s="180"/>
    </row>
    <row r="241" spans="1:6" ht="15">
      <c r="A241" s="179"/>
      <c r="B241" s="180"/>
      <c r="C241" s="180"/>
      <c r="D241" s="180"/>
      <c r="E241" s="180"/>
      <c r="F241" s="180"/>
    </row>
    <row r="242" spans="1:6" ht="15">
      <c r="A242" s="179"/>
      <c r="B242" s="180"/>
      <c r="C242" s="180"/>
      <c r="D242" s="180"/>
      <c r="E242" s="180"/>
      <c r="F242" s="180"/>
    </row>
    <row r="243" spans="1:6" ht="15">
      <c r="A243" s="179"/>
      <c r="B243" s="180"/>
      <c r="C243" s="180"/>
      <c r="D243" s="180"/>
      <c r="E243" s="180"/>
      <c r="F243" s="180"/>
    </row>
    <row r="244" spans="1:6" ht="15">
      <c r="A244" s="179"/>
      <c r="B244" s="180"/>
      <c r="C244" s="180"/>
      <c r="D244" s="180"/>
      <c r="E244" s="180"/>
      <c r="F244" s="180"/>
    </row>
    <row r="245" spans="1:6" ht="15">
      <c r="A245" s="179"/>
      <c r="B245" s="180"/>
      <c r="C245" s="180"/>
      <c r="D245" s="180"/>
      <c r="E245" s="180"/>
      <c r="F245" s="180"/>
    </row>
    <row r="246" spans="1:6" ht="15">
      <c r="A246" s="179"/>
      <c r="B246" s="180"/>
      <c r="C246" s="180"/>
      <c r="D246" s="180"/>
      <c r="E246" s="180"/>
      <c r="F246" s="180"/>
    </row>
    <row r="247" spans="1:6" ht="15">
      <c r="A247" s="179"/>
      <c r="B247" s="180"/>
      <c r="C247" s="180"/>
      <c r="D247" s="180"/>
      <c r="E247" s="180"/>
      <c r="F247" s="180"/>
    </row>
    <row r="248" spans="1:6" ht="15">
      <c r="A248" s="179"/>
      <c r="B248" s="180"/>
      <c r="C248" s="180"/>
      <c r="D248" s="180"/>
      <c r="E248" s="180"/>
      <c r="F248" s="180"/>
    </row>
    <row r="249" spans="1:6" ht="15">
      <c r="A249" s="179"/>
      <c r="B249" s="180"/>
      <c r="C249" s="180"/>
      <c r="D249" s="180"/>
      <c r="E249" s="180"/>
      <c r="F249" s="180"/>
    </row>
    <row r="250" spans="1:6" ht="15">
      <c r="A250" s="179"/>
      <c r="B250" s="180"/>
      <c r="C250" s="180"/>
      <c r="D250" s="180"/>
      <c r="E250" s="180"/>
      <c r="F250" s="180"/>
    </row>
    <row r="251" spans="1:6" ht="15">
      <c r="A251" s="179"/>
      <c r="B251" s="180"/>
      <c r="C251" s="180"/>
      <c r="D251" s="180"/>
      <c r="E251" s="180"/>
      <c r="F251" s="180"/>
    </row>
    <row r="252" spans="1:6" ht="15">
      <c r="A252" s="179"/>
      <c r="B252" s="180"/>
      <c r="C252" s="180"/>
      <c r="D252" s="180"/>
      <c r="E252" s="180"/>
      <c r="F252" s="180"/>
    </row>
    <row r="253" spans="1:6" ht="15">
      <c r="A253" s="179"/>
      <c r="B253" s="180"/>
      <c r="C253" s="180"/>
      <c r="D253" s="180"/>
      <c r="E253" s="180"/>
      <c r="F253" s="180"/>
    </row>
    <row r="254" spans="1:6" ht="15">
      <c r="A254" s="179"/>
      <c r="B254" s="180"/>
      <c r="C254" s="180"/>
      <c r="D254" s="180"/>
      <c r="E254" s="180"/>
      <c r="F254" s="180"/>
    </row>
    <row r="255" spans="1:6" ht="15">
      <c r="A255" s="179"/>
      <c r="B255" s="180"/>
      <c r="C255" s="180"/>
      <c r="D255" s="180"/>
      <c r="E255" s="180"/>
      <c r="F255" s="180"/>
    </row>
    <row r="256" spans="1:6" ht="15">
      <c r="A256" s="179"/>
      <c r="B256" s="180"/>
      <c r="C256" s="180"/>
      <c r="D256" s="180"/>
      <c r="E256" s="180"/>
      <c r="F256" s="180"/>
    </row>
    <row r="257" spans="1:6" ht="15">
      <c r="A257" s="179"/>
      <c r="B257" s="180"/>
      <c r="C257" s="180"/>
      <c r="D257" s="180"/>
      <c r="E257" s="180"/>
      <c r="F257" s="180"/>
    </row>
    <row r="258" spans="1:6" ht="15">
      <c r="A258" s="179"/>
      <c r="B258" s="180"/>
      <c r="C258" s="180"/>
      <c r="D258" s="180"/>
      <c r="E258" s="180"/>
      <c r="F258" s="180"/>
    </row>
    <row r="259" spans="1:6" ht="15">
      <c r="A259" s="179"/>
      <c r="B259" s="180"/>
      <c r="C259" s="180"/>
      <c r="D259" s="180"/>
      <c r="E259" s="180"/>
      <c r="F259" s="180"/>
    </row>
    <row r="260" spans="1:6" ht="15">
      <c r="A260" s="179"/>
      <c r="B260" s="180"/>
      <c r="C260" s="180"/>
      <c r="D260" s="180"/>
      <c r="E260" s="180"/>
      <c r="F260" s="180"/>
    </row>
    <row r="261" spans="1:6" ht="15">
      <c r="A261" s="179"/>
      <c r="B261" s="180"/>
      <c r="C261" s="180"/>
      <c r="D261" s="180"/>
      <c r="E261" s="180"/>
      <c r="F261" s="180"/>
    </row>
    <row r="262" spans="1:6" ht="15">
      <c r="A262" s="179"/>
      <c r="B262" s="180"/>
      <c r="C262" s="180"/>
      <c r="D262" s="180"/>
      <c r="E262" s="180"/>
      <c r="F262" s="180"/>
    </row>
    <row r="263" spans="1:6" ht="15">
      <c r="A263" s="179"/>
      <c r="B263" s="180"/>
      <c r="C263" s="180"/>
      <c r="D263" s="180"/>
      <c r="E263" s="180"/>
      <c r="F263" s="180"/>
    </row>
    <row r="264" spans="1:6" ht="15">
      <c r="A264" s="179"/>
      <c r="B264" s="180"/>
      <c r="C264" s="180"/>
      <c r="D264" s="180"/>
      <c r="E264" s="180"/>
      <c r="F264" s="180"/>
    </row>
    <row r="265" spans="1:6" ht="15">
      <c r="A265" s="179"/>
      <c r="B265" s="180"/>
      <c r="C265" s="180"/>
      <c r="D265" s="180"/>
      <c r="E265" s="180"/>
      <c r="F265" s="180"/>
    </row>
    <row r="266" spans="1:6" ht="15">
      <c r="A266" s="179"/>
      <c r="B266" s="180"/>
      <c r="C266" s="180"/>
      <c r="D266" s="180"/>
      <c r="E266" s="180"/>
      <c r="F266" s="18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tabColor theme="6" tint="0.39997558519241921"/>
  </sheetPr>
  <dimension ref="A1:J35"/>
  <sheetViews>
    <sheetView showGridLines="0" zoomScaleNormal="100" workbookViewId="0">
      <pane ySplit="6" topLeftCell="A7" activePane="bottomLeft" state="frozen"/>
      <selection pane="bottomLeft" activeCell="C1" sqref="C1"/>
    </sheetView>
  </sheetViews>
  <sheetFormatPr defaultRowHeight="14.25"/>
  <cols>
    <col min="1" max="1" width="8.86328125" customWidth="1"/>
    <col min="2" max="4" width="18.73046875" customWidth="1"/>
  </cols>
  <sheetData>
    <row r="1" spans="1:10" ht="15.95" customHeight="1">
      <c r="A1" s="524" t="str">
        <f>IF(språk=lista[[#Headers],[Svenska]],"Innehåll",IF(språk=lista[[#Headers],[English]],"Contents","FEL"))</f>
        <v>Contents</v>
      </c>
    </row>
    <row r="2" spans="1:10" ht="15.95" customHeight="1"/>
    <row r="3" spans="1:10" ht="15.95" customHeight="1">
      <c r="A3" s="436" t="str">
        <f>IFERROR(INDEX(lista[],MATCH($A5,lista[ID],0),MATCH(språk,lista[#Headers],0)),"")</f>
        <v>Coal prices in Europe, the USA and Asia, from 1998, USD/tonne</v>
      </c>
      <c r="B3" s="436"/>
      <c r="C3" s="436"/>
      <c r="D3" s="436"/>
      <c r="J3" s="579"/>
    </row>
    <row r="4" spans="1:10" ht="15.95" customHeight="1">
      <c r="A4" s="402"/>
      <c r="B4" s="255"/>
      <c r="C4" s="255"/>
      <c r="D4" s="255"/>
      <c r="J4" s="579"/>
    </row>
    <row r="5" spans="1:10" ht="15.95" hidden="1" customHeight="1">
      <c r="A5" s="254">
        <v>77</v>
      </c>
      <c r="B5" s="255" t="s">
        <v>647</v>
      </c>
      <c r="C5" s="255" t="s">
        <v>648</v>
      </c>
      <c r="D5" s="255" t="s">
        <v>649</v>
      </c>
      <c r="J5" s="579"/>
    </row>
    <row r="6" spans="1:10" ht="15.95" customHeight="1">
      <c r="A6" s="172"/>
      <c r="B6" s="256" t="str">
        <f>IFERROR(INDEX(_11.2[],MATCH(språk,_11.2[[id]:[id]],0),MATCH(B$5,_11.2[#Headers],0)),"")</f>
        <v xml:space="preserve">Europe </v>
      </c>
      <c r="C6" s="256" t="str">
        <f>IFERROR(INDEX(_11.2[],MATCH(språk,_11.2[[id]:[id]],0),MATCH(C$5,_11.2[#Headers],0)),"")</f>
        <v>USA</v>
      </c>
      <c r="D6" s="256" t="str">
        <f>IFERROR(INDEX(_11.2[],MATCH(språk,_11.2[[id]:[id]],0),MATCH(D$5,_11.2[#Headers],0)),"")</f>
        <v>Asia</v>
      </c>
      <c r="J6" s="579"/>
    </row>
    <row r="7" spans="1:10" ht="15.95" customHeight="1">
      <c r="A7" s="838">
        <v>1990</v>
      </c>
      <c r="B7" s="839">
        <v>43.48</v>
      </c>
      <c r="C7" s="839">
        <v>31.59</v>
      </c>
      <c r="D7" s="839"/>
      <c r="E7" s="581"/>
      <c r="J7" s="579"/>
    </row>
    <row r="8" spans="1:10" ht="15.95" customHeight="1">
      <c r="A8" s="257">
        <v>1991</v>
      </c>
      <c r="B8" s="582">
        <v>42.8</v>
      </c>
      <c r="C8" s="582">
        <v>29.01</v>
      </c>
      <c r="D8" s="582"/>
      <c r="E8" s="581"/>
      <c r="J8" s="579"/>
    </row>
    <row r="9" spans="1:10" ht="15.95" customHeight="1">
      <c r="A9" s="838">
        <v>1992</v>
      </c>
      <c r="B9" s="839">
        <v>38.53</v>
      </c>
      <c r="C9" s="839">
        <v>28.53</v>
      </c>
      <c r="D9" s="839"/>
      <c r="E9" s="581"/>
      <c r="J9" s="579"/>
    </row>
    <row r="10" spans="1:10" ht="15.95" customHeight="1">
      <c r="A10" s="257">
        <v>1993</v>
      </c>
      <c r="B10" s="580">
        <v>33.68</v>
      </c>
      <c r="C10" s="580">
        <v>29.85</v>
      </c>
      <c r="D10" s="580"/>
      <c r="E10" s="581"/>
      <c r="J10" s="579"/>
    </row>
    <row r="11" spans="1:10" ht="15.95" customHeight="1">
      <c r="A11" s="838">
        <v>1994</v>
      </c>
      <c r="B11" s="839">
        <v>37.18</v>
      </c>
      <c r="C11" s="839">
        <v>31.72</v>
      </c>
      <c r="D11" s="839"/>
      <c r="E11" s="581"/>
      <c r="J11" s="579"/>
    </row>
    <row r="12" spans="1:10" ht="15.95" customHeight="1">
      <c r="A12" s="257">
        <v>1995</v>
      </c>
      <c r="B12" s="582">
        <v>44.5</v>
      </c>
      <c r="C12" s="582">
        <v>27.01</v>
      </c>
      <c r="D12" s="582"/>
      <c r="E12" s="581"/>
      <c r="J12" s="579"/>
    </row>
    <row r="13" spans="1:10" ht="15.95" customHeight="1">
      <c r="A13" s="838">
        <v>1996</v>
      </c>
      <c r="B13" s="839">
        <v>41.25</v>
      </c>
      <c r="C13" s="839">
        <v>29.86</v>
      </c>
      <c r="D13" s="839"/>
      <c r="E13" s="581"/>
      <c r="J13" s="579"/>
    </row>
    <row r="14" spans="1:10" ht="15.95" customHeight="1">
      <c r="A14" s="257">
        <v>1997</v>
      </c>
      <c r="B14" s="582">
        <v>38.92</v>
      </c>
      <c r="C14" s="582">
        <v>29.76</v>
      </c>
      <c r="D14" s="582"/>
      <c r="E14" s="581"/>
      <c r="J14" s="579"/>
    </row>
    <row r="15" spans="1:10" ht="15.95" customHeight="1">
      <c r="A15" s="838">
        <v>1998</v>
      </c>
      <c r="B15" s="839">
        <v>32</v>
      </c>
      <c r="C15" s="839">
        <v>31</v>
      </c>
      <c r="D15" s="839">
        <v>29.48</v>
      </c>
      <c r="E15" s="581"/>
      <c r="J15" s="579"/>
    </row>
    <row r="16" spans="1:10" ht="15.95" customHeight="1">
      <c r="A16" s="257">
        <v>1999</v>
      </c>
      <c r="B16" s="582">
        <v>28.79</v>
      </c>
      <c r="C16" s="582">
        <v>31.29</v>
      </c>
      <c r="D16" s="582">
        <v>27.82</v>
      </c>
      <c r="E16" s="581"/>
      <c r="J16" s="579"/>
    </row>
    <row r="17" spans="1:10" ht="15.95" customHeight="1">
      <c r="A17" s="838">
        <v>2000</v>
      </c>
      <c r="B17" s="839">
        <v>35.99</v>
      </c>
      <c r="C17" s="839">
        <v>29.9</v>
      </c>
      <c r="D17" s="839">
        <v>31.76</v>
      </c>
      <c r="E17" s="581"/>
      <c r="J17" s="579"/>
    </row>
    <row r="18" spans="1:10" ht="15.95" customHeight="1">
      <c r="A18" s="257">
        <v>2001</v>
      </c>
      <c r="B18" s="582">
        <v>39.03</v>
      </c>
      <c r="C18" s="582">
        <v>50.15</v>
      </c>
      <c r="D18" s="582">
        <v>36.89</v>
      </c>
      <c r="E18" s="581"/>
      <c r="J18" s="579"/>
    </row>
    <row r="19" spans="1:10" ht="15.95" customHeight="1">
      <c r="A19" s="838">
        <v>2002</v>
      </c>
      <c r="B19" s="839">
        <v>31.65</v>
      </c>
      <c r="C19" s="839">
        <v>33.200000000000003</v>
      </c>
      <c r="D19" s="839">
        <v>30.41</v>
      </c>
      <c r="E19" s="581"/>
      <c r="J19" s="579"/>
    </row>
    <row r="20" spans="1:10" ht="15.95" customHeight="1">
      <c r="A20" s="257">
        <v>2003</v>
      </c>
      <c r="B20" s="582">
        <v>43.6</v>
      </c>
      <c r="C20" s="582">
        <v>38.520000000000003</v>
      </c>
      <c r="D20" s="582">
        <v>36.53</v>
      </c>
      <c r="E20" s="581"/>
      <c r="J20" s="579"/>
    </row>
    <row r="21" spans="1:10" ht="15.95" customHeight="1">
      <c r="A21" s="838">
        <v>2004</v>
      </c>
      <c r="B21" s="839">
        <v>72.08</v>
      </c>
      <c r="C21" s="839">
        <v>64.900000000000006</v>
      </c>
      <c r="D21" s="839">
        <v>72.42</v>
      </c>
      <c r="E21" s="581"/>
      <c r="J21" s="579"/>
    </row>
    <row r="22" spans="1:10" ht="15.95" customHeight="1">
      <c r="A22" s="257">
        <v>2005</v>
      </c>
      <c r="B22" s="582">
        <v>60.54</v>
      </c>
      <c r="C22" s="582">
        <v>70.12</v>
      </c>
      <c r="D22" s="582">
        <v>61.84</v>
      </c>
      <c r="E22" s="581"/>
      <c r="J22" s="579"/>
    </row>
    <row r="23" spans="1:10" ht="15.95" customHeight="1">
      <c r="A23" s="838">
        <v>2006</v>
      </c>
      <c r="B23" s="839">
        <v>64.11</v>
      </c>
      <c r="C23" s="839">
        <v>62.96</v>
      </c>
      <c r="D23" s="839">
        <v>56.47</v>
      </c>
      <c r="E23" s="581"/>
      <c r="J23" s="579"/>
    </row>
    <row r="24" spans="1:10" ht="15.95" customHeight="1">
      <c r="A24" s="257">
        <v>2007</v>
      </c>
      <c r="B24" s="582">
        <v>88.79</v>
      </c>
      <c r="C24" s="582">
        <v>51.16</v>
      </c>
      <c r="D24" s="582">
        <v>84.57</v>
      </c>
      <c r="E24" s="581"/>
      <c r="J24" s="579"/>
    </row>
    <row r="25" spans="1:10" ht="15.95" customHeight="1">
      <c r="A25" s="838">
        <v>2008</v>
      </c>
      <c r="B25" s="839">
        <v>147.66999999999999</v>
      </c>
      <c r="C25" s="839">
        <v>118.79</v>
      </c>
      <c r="D25" s="839">
        <v>148.06</v>
      </c>
      <c r="E25" s="581"/>
      <c r="J25" s="579"/>
    </row>
    <row r="26" spans="1:10" ht="15.95" customHeight="1">
      <c r="A26" s="257">
        <v>2009</v>
      </c>
      <c r="B26" s="582">
        <v>70.66</v>
      </c>
      <c r="C26" s="582">
        <v>68.08</v>
      </c>
      <c r="D26" s="582">
        <v>78.81</v>
      </c>
      <c r="E26" s="581"/>
      <c r="J26" s="579"/>
    </row>
    <row r="27" spans="1:10">
      <c r="A27" s="838">
        <v>2010</v>
      </c>
      <c r="B27" s="839">
        <v>92.5</v>
      </c>
      <c r="C27" s="839">
        <v>71.63</v>
      </c>
      <c r="D27" s="839">
        <v>105.43</v>
      </c>
      <c r="E27" s="581"/>
      <c r="J27" s="579"/>
    </row>
    <row r="28" spans="1:10" ht="15.95" customHeight="1">
      <c r="A28" s="257">
        <v>2011</v>
      </c>
      <c r="B28" s="582">
        <v>121.52</v>
      </c>
      <c r="C28" s="582">
        <v>87.38</v>
      </c>
      <c r="D28" s="582">
        <v>125.74</v>
      </c>
      <c r="E28" s="581"/>
      <c r="J28" s="579"/>
    </row>
    <row r="29" spans="1:10" ht="15.95" customHeight="1">
      <c r="A29" s="838">
        <v>2012</v>
      </c>
      <c r="B29" s="839">
        <v>92.5</v>
      </c>
      <c r="C29" s="839">
        <v>72.06</v>
      </c>
      <c r="D29" s="839">
        <v>105.5</v>
      </c>
      <c r="E29" s="581"/>
      <c r="J29" s="579"/>
    </row>
    <row r="30" spans="1:10" ht="15.95" customHeight="1">
      <c r="A30" s="257">
        <v>2013</v>
      </c>
      <c r="B30" s="582">
        <v>81.69</v>
      </c>
      <c r="C30" s="582">
        <v>71.39</v>
      </c>
      <c r="D30" s="582">
        <v>90.9</v>
      </c>
      <c r="E30" s="581"/>
      <c r="J30" s="579"/>
    </row>
    <row r="31" spans="1:10" ht="15.95" customHeight="1">
      <c r="A31" s="838">
        <v>2014</v>
      </c>
      <c r="B31" s="839">
        <v>75.38</v>
      </c>
      <c r="C31" s="839">
        <v>69</v>
      </c>
      <c r="D31" s="839">
        <v>77.89</v>
      </c>
      <c r="E31" s="581"/>
      <c r="J31" s="579"/>
    </row>
    <row r="32" spans="1:10" ht="15.95" customHeight="1">
      <c r="A32" s="257">
        <v>2015</v>
      </c>
      <c r="B32" s="582">
        <v>56.64</v>
      </c>
      <c r="C32" s="582">
        <v>53.59</v>
      </c>
      <c r="D32" s="582">
        <v>63.52</v>
      </c>
      <c r="E32" s="581"/>
      <c r="J32" s="579"/>
    </row>
    <row r="33" spans="1:10" ht="15.95" customHeight="1">
      <c r="A33" s="838">
        <v>2016</v>
      </c>
      <c r="B33" s="839">
        <v>59.87</v>
      </c>
      <c r="C33" s="839">
        <v>53.56</v>
      </c>
      <c r="D33" s="839">
        <v>69.91</v>
      </c>
      <c r="E33" s="581"/>
      <c r="J33" s="579"/>
    </row>
    <row r="34" spans="1:10">
      <c r="A34" s="257"/>
      <c r="B34" s="582"/>
      <c r="C34" s="582"/>
      <c r="D34" s="582"/>
      <c r="E34" s="581"/>
    </row>
    <row r="35" spans="1:10">
      <c r="A35" s="237" t="s">
        <v>540</v>
      </c>
      <c r="B35" s="237"/>
      <c r="C35" s="237"/>
      <c r="D35" s="23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tabColor theme="0"/>
  </sheetPr>
  <dimension ref="A1:J33"/>
  <sheetViews>
    <sheetView zoomScaleNormal="100" workbookViewId="0">
      <pane ySplit="6" topLeftCell="A7" activePane="bottomLeft" state="frozen"/>
      <selection pane="bottomLeft" activeCell="D1" sqref="D1"/>
    </sheetView>
  </sheetViews>
  <sheetFormatPr defaultRowHeight="12.75"/>
  <cols>
    <col min="1" max="1" width="10.73046875" style="457" customWidth="1"/>
    <col min="2" max="5" width="9.86328125" style="458" customWidth="1"/>
    <col min="6" max="6" width="10.86328125" style="466" customWidth="1"/>
    <col min="7" max="7" width="10.3984375" style="466" customWidth="1"/>
    <col min="8" max="8" width="9.86328125" style="466" customWidth="1"/>
    <col min="9" max="253" width="9.1328125" style="466"/>
    <col min="254" max="254" width="5.59765625" style="466" customWidth="1"/>
    <col min="255" max="261" width="9.86328125" style="466" customWidth="1"/>
    <col min="262" max="509" width="9.1328125" style="466"/>
    <col min="510" max="510" width="5.59765625" style="466" customWidth="1"/>
    <col min="511" max="517" width="9.86328125" style="466" customWidth="1"/>
    <col min="518" max="765" width="9.1328125" style="466"/>
    <col min="766" max="766" width="5.59765625" style="466" customWidth="1"/>
    <col min="767" max="773" width="9.86328125" style="466" customWidth="1"/>
    <col min="774" max="1021" width="9.1328125" style="466"/>
    <col min="1022" max="1022" width="5.59765625" style="466" customWidth="1"/>
    <col min="1023" max="1029" width="9.86328125" style="466" customWidth="1"/>
    <col min="1030" max="1277" width="9.1328125" style="466"/>
    <col min="1278" max="1278" width="5.59765625" style="466" customWidth="1"/>
    <col min="1279" max="1285" width="9.86328125" style="466" customWidth="1"/>
    <col min="1286" max="1533" width="9.1328125" style="466"/>
    <col min="1534" max="1534" width="5.59765625" style="466" customWidth="1"/>
    <col min="1535" max="1541" width="9.86328125" style="466" customWidth="1"/>
    <col min="1542" max="1789" width="9.1328125" style="466"/>
    <col min="1790" max="1790" width="5.59765625" style="466" customWidth="1"/>
    <col min="1791" max="1797" width="9.86328125" style="466" customWidth="1"/>
    <col min="1798" max="2045" width="9.1328125" style="466"/>
    <col min="2046" max="2046" width="5.59765625" style="466" customWidth="1"/>
    <col min="2047" max="2053" width="9.86328125" style="466" customWidth="1"/>
    <col min="2054" max="2301" width="9.1328125" style="466"/>
    <col min="2302" max="2302" width="5.59765625" style="466" customWidth="1"/>
    <col min="2303" max="2309" width="9.86328125" style="466" customWidth="1"/>
    <col min="2310" max="2557" width="9.1328125" style="466"/>
    <col min="2558" max="2558" width="5.59765625" style="466" customWidth="1"/>
    <col min="2559" max="2565" width="9.86328125" style="466" customWidth="1"/>
    <col min="2566" max="2813" width="9.1328125" style="466"/>
    <col min="2814" max="2814" width="5.59765625" style="466" customWidth="1"/>
    <col min="2815" max="2821" width="9.86328125" style="466" customWidth="1"/>
    <col min="2822" max="3069" width="9.1328125" style="466"/>
    <col min="3070" max="3070" width="5.59765625" style="466" customWidth="1"/>
    <col min="3071" max="3077" width="9.86328125" style="466" customWidth="1"/>
    <col min="3078" max="3325" width="9.1328125" style="466"/>
    <col min="3326" max="3326" width="5.59765625" style="466" customWidth="1"/>
    <col min="3327" max="3333" width="9.86328125" style="466" customWidth="1"/>
    <col min="3334" max="3581" width="9.1328125" style="466"/>
    <col min="3582" max="3582" width="5.59765625" style="466" customWidth="1"/>
    <col min="3583" max="3589" width="9.86328125" style="466" customWidth="1"/>
    <col min="3590" max="3837" width="9.1328125" style="466"/>
    <col min="3838" max="3838" width="5.59765625" style="466" customWidth="1"/>
    <col min="3839" max="3845" width="9.86328125" style="466" customWidth="1"/>
    <col min="3846" max="4093" width="9.1328125" style="466"/>
    <col min="4094" max="4094" width="5.59765625" style="466" customWidth="1"/>
    <col min="4095" max="4101" width="9.86328125" style="466" customWidth="1"/>
    <col min="4102" max="4349" width="9.1328125" style="466"/>
    <col min="4350" max="4350" width="5.59765625" style="466" customWidth="1"/>
    <col min="4351" max="4357" width="9.86328125" style="466" customWidth="1"/>
    <col min="4358" max="4605" width="9.1328125" style="466"/>
    <col min="4606" max="4606" width="5.59765625" style="466" customWidth="1"/>
    <col min="4607" max="4613" width="9.86328125" style="466" customWidth="1"/>
    <col min="4614" max="4861" width="9.1328125" style="466"/>
    <col min="4862" max="4862" width="5.59765625" style="466" customWidth="1"/>
    <col min="4863" max="4869" width="9.86328125" style="466" customWidth="1"/>
    <col min="4870" max="5117" width="9.1328125" style="466"/>
    <col min="5118" max="5118" width="5.59765625" style="466" customWidth="1"/>
    <col min="5119" max="5125" width="9.86328125" style="466" customWidth="1"/>
    <col min="5126" max="5373" width="9.1328125" style="466"/>
    <col min="5374" max="5374" width="5.59765625" style="466" customWidth="1"/>
    <col min="5375" max="5381" width="9.86328125" style="466" customWidth="1"/>
    <col min="5382" max="5629" width="9.1328125" style="466"/>
    <col min="5630" max="5630" width="5.59765625" style="466" customWidth="1"/>
    <col min="5631" max="5637" width="9.86328125" style="466" customWidth="1"/>
    <col min="5638" max="5885" width="9.1328125" style="466"/>
    <col min="5886" max="5886" width="5.59765625" style="466" customWidth="1"/>
    <col min="5887" max="5893" width="9.86328125" style="466" customWidth="1"/>
    <col min="5894" max="6141" width="9.1328125" style="466"/>
    <col min="6142" max="6142" width="5.59765625" style="466" customWidth="1"/>
    <col min="6143" max="6149" width="9.86328125" style="466" customWidth="1"/>
    <col min="6150" max="6397" width="9.1328125" style="466"/>
    <col min="6398" max="6398" width="5.59765625" style="466" customWidth="1"/>
    <col min="6399" max="6405" width="9.86328125" style="466" customWidth="1"/>
    <col min="6406" max="6653" width="9.1328125" style="466"/>
    <col min="6654" max="6654" width="5.59765625" style="466" customWidth="1"/>
    <col min="6655" max="6661" width="9.86328125" style="466" customWidth="1"/>
    <col min="6662" max="6909" width="9.1328125" style="466"/>
    <col min="6910" max="6910" width="5.59765625" style="466" customWidth="1"/>
    <col min="6911" max="6917" width="9.86328125" style="466" customWidth="1"/>
    <col min="6918" max="7165" width="9.1328125" style="466"/>
    <col min="7166" max="7166" width="5.59765625" style="466" customWidth="1"/>
    <col min="7167" max="7173" width="9.86328125" style="466" customWidth="1"/>
    <col min="7174" max="7421" width="9.1328125" style="466"/>
    <col min="7422" max="7422" width="5.59765625" style="466" customWidth="1"/>
    <col min="7423" max="7429" width="9.86328125" style="466" customWidth="1"/>
    <col min="7430" max="7677" width="9.1328125" style="466"/>
    <col min="7678" max="7678" width="5.59765625" style="466" customWidth="1"/>
    <col min="7679" max="7685" width="9.86328125" style="466" customWidth="1"/>
    <col min="7686" max="7933" width="9.1328125" style="466"/>
    <col min="7934" max="7934" width="5.59765625" style="466" customWidth="1"/>
    <col min="7935" max="7941" width="9.86328125" style="466" customWidth="1"/>
    <col min="7942" max="8189" width="9.1328125" style="466"/>
    <col min="8190" max="8190" width="5.59765625" style="466" customWidth="1"/>
    <col min="8191" max="8197" width="9.86328125" style="466" customWidth="1"/>
    <col min="8198" max="8445" width="9.1328125" style="466"/>
    <col min="8446" max="8446" width="5.59765625" style="466" customWidth="1"/>
    <col min="8447" max="8453" width="9.86328125" style="466" customWidth="1"/>
    <col min="8454" max="8701" width="9.1328125" style="466"/>
    <col min="8702" max="8702" width="5.59765625" style="466" customWidth="1"/>
    <col min="8703" max="8709" width="9.86328125" style="466" customWidth="1"/>
    <col min="8710" max="8957" width="9.1328125" style="466"/>
    <col min="8958" max="8958" width="5.59765625" style="466" customWidth="1"/>
    <col min="8959" max="8965" width="9.86328125" style="466" customWidth="1"/>
    <col min="8966" max="9213" width="9.1328125" style="466"/>
    <col min="9214" max="9214" width="5.59765625" style="466" customWidth="1"/>
    <col min="9215" max="9221" width="9.86328125" style="466" customWidth="1"/>
    <col min="9222" max="9469" width="9.1328125" style="466"/>
    <col min="9470" max="9470" width="5.59765625" style="466" customWidth="1"/>
    <col min="9471" max="9477" width="9.86328125" style="466" customWidth="1"/>
    <col min="9478" max="9725" width="9.1328125" style="466"/>
    <col min="9726" max="9726" width="5.59765625" style="466" customWidth="1"/>
    <col min="9727" max="9733" width="9.86328125" style="466" customWidth="1"/>
    <col min="9734" max="9981" width="9.1328125" style="466"/>
    <col min="9982" max="9982" width="5.59765625" style="466" customWidth="1"/>
    <col min="9983" max="9989" width="9.86328125" style="466" customWidth="1"/>
    <col min="9990" max="10237" width="9.1328125" style="466"/>
    <col min="10238" max="10238" width="5.59765625" style="466" customWidth="1"/>
    <col min="10239" max="10245" width="9.86328125" style="466" customWidth="1"/>
    <col min="10246" max="10493" width="9.1328125" style="466"/>
    <col min="10494" max="10494" width="5.59765625" style="466" customWidth="1"/>
    <col min="10495" max="10501" width="9.86328125" style="466" customWidth="1"/>
    <col min="10502" max="10749" width="9.1328125" style="466"/>
    <col min="10750" max="10750" width="5.59765625" style="466" customWidth="1"/>
    <col min="10751" max="10757" width="9.86328125" style="466" customWidth="1"/>
    <col min="10758" max="11005" width="9.1328125" style="466"/>
    <col min="11006" max="11006" width="5.59765625" style="466" customWidth="1"/>
    <col min="11007" max="11013" width="9.86328125" style="466" customWidth="1"/>
    <col min="11014" max="11261" width="9.1328125" style="466"/>
    <col min="11262" max="11262" width="5.59765625" style="466" customWidth="1"/>
    <col min="11263" max="11269" width="9.86328125" style="466" customWidth="1"/>
    <col min="11270" max="11517" width="9.1328125" style="466"/>
    <col min="11518" max="11518" width="5.59765625" style="466" customWidth="1"/>
    <col min="11519" max="11525" width="9.86328125" style="466" customWidth="1"/>
    <col min="11526" max="11773" width="9.1328125" style="466"/>
    <col min="11774" max="11774" width="5.59765625" style="466" customWidth="1"/>
    <col min="11775" max="11781" width="9.86328125" style="466" customWidth="1"/>
    <col min="11782" max="12029" width="9.1328125" style="466"/>
    <col min="12030" max="12030" width="5.59765625" style="466" customWidth="1"/>
    <col min="12031" max="12037" width="9.86328125" style="466" customWidth="1"/>
    <col min="12038" max="12285" width="9.1328125" style="466"/>
    <col min="12286" max="12286" width="5.59765625" style="466" customWidth="1"/>
    <col min="12287" max="12293" width="9.86328125" style="466" customWidth="1"/>
    <col min="12294" max="12541" width="9.1328125" style="466"/>
    <col min="12542" max="12542" width="5.59765625" style="466" customWidth="1"/>
    <col min="12543" max="12549" width="9.86328125" style="466" customWidth="1"/>
    <col min="12550" max="12797" width="9.1328125" style="466"/>
    <col min="12798" max="12798" width="5.59765625" style="466" customWidth="1"/>
    <col min="12799" max="12805" width="9.86328125" style="466" customWidth="1"/>
    <col min="12806" max="13053" width="9.1328125" style="466"/>
    <col min="13054" max="13054" width="5.59765625" style="466" customWidth="1"/>
    <col min="13055" max="13061" width="9.86328125" style="466" customWidth="1"/>
    <col min="13062" max="13309" width="9.1328125" style="466"/>
    <col min="13310" max="13310" width="5.59765625" style="466" customWidth="1"/>
    <col min="13311" max="13317" width="9.86328125" style="466" customWidth="1"/>
    <col min="13318" max="13565" width="9.1328125" style="466"/>
    <col min="13566" max="13566" width="5.59765625" style="466" customWidth="1"/>
    <col min="13567" max="13573" width="9.86328125" style="466" customWidth="1"/>
    <col min="13574" max="13821" width="9.1328125" style="466"/>
    <col min="13822" max="13822" width="5.59765625" style="466" customWidth="1"/>
    <col min="13823" max="13829" width="9.86328125" style="466" customWidth="1"/>
    <col min="13830" max="14077" width="9.1328125" style="466"/>
    <col min="14078" max="14078" width="5.59765625" style="466" customWidth="1"/>
    <col min="14079" max="14085" width="9.86328125" style="466" customWidth="1"/>
    <col min="14086" max="14333" width="9.1328125" style="466"/>
    <col min="14334" max="14334" width="5.59765625" style="466" customWidth="1"/>
    <col min="14335" max="14341" width="9.86328125" style="466" customWidth="1"/>
    <col min="14342" max="14589" width="9.1328125" style="466"/>
    <col min="14590" max="14590" width="5.59765625" style="466" customWidth="1"/>
    <col min="14591" max="14597" width="9.86328125" style="466" customWidth="1"/>
    <col min="14598" max="14845" width="9.1328125" style="466"/>
    <col min="14846" max="14846" width="5.59765625" style="466" customWidth="1"/>
    <col min="14847" max="14853" width="9.86328125" style="466" customWidth="1"/>
    <col min="14854" max="15101" width="9.1328125" style="466"/>
    <col min="15102" max="15102" width="5.59765625" style="466" customWidth="1"/>
    <col min="15103" max="15109" width="9.86328125" style="466" customWidth="1"/>
    <col min="15110" max="15357" width="9.1328125" style="466"/>
    <col min="15358" max="15358" width="5.59765625" style="466" customWidth="1"/>
    <col min="15359" max="15365" width="9.86328125" style="466" customWidth="1"/>
    <col min="15366" max="15613" width="9.1328125" style="466"/>
    <col min="15614" max="15614" width="5.59765625" style="466" customWidth="1"/>
    <col min="15615" max="15621" width="9.86328125" style="466" customWidth="1"/>
    <col min="15622" max="15869" width="9.1328125" style="466"/>
    <col min="15870" max="15870" width="5.59765625" style="466" customWidth="1"/>
    <col min="15871" max="15877" width="9.86328125" style="466" customWidth="1"/>
    <col min="15878" max="16125" width="9.1328125" style="466"/>
    <col min="16126" max="16126" width="5.59765625" style="466" customWidth="1"/>
    <col min="16127" max="16133" width="9.86328125" style="466" customWidth="1"/>
    <col min="16134" max="16384" width="9.1328125" style="466"/>
  </cols>
  <sheetData>
    <row r="1" spans="1:10" ht="13.15">
      <c r="A1" s="524" t="str">
        <f>IF(språk=lista[[#Headers],[Svenska]],"Innehåll",IF(språk=lista[[#Headers],[English]],"Contents","FEL"))</f>
        <v>Contents</v>
      </c>
    </row>
    <row r="3" spans="1:10" ht="15.75">
      <c r="A3" s="455" t="str">
        <f>IFERROR(INDEX(lista[],MATCH($A5,lista[ID],0),MATCH(språk,lista[#Headers],0)),"")</f>
        <v>World total primary energy supply, by source, from 1990, TWh</v>
      </c>
      <c r="B3" s="455"/>
      <c r="C3" s="455"/>
      <c r="D3" s="455"/>
      <c r="E3" s="455"/>
    </row>
    <row r="4" spans="1:10" ht="15.75">
      <c r="A4" s="469"/>
      <c r="B4" s="469"/>
      <c r="C4" s="469"/>
      <c r="D4" s="469"/>
      <c r="E4" s="469"/>
    </row>
    <row r="5" spans="1:10" hidden="1">
      <c r="A5" s="457">
        <v>79</v>
      </c>
      <c r="B5" s="458" t="s">
        <v>647</v>
      </c>
      <c r="C5" s="458" t="s">
        <v>648</v>
      </c>
      <c r="D5" s="458" t="s">
        <v>649</v>
      </c>
      <c r="E5" s="458" t="s">
        <v>650</v>
      </c>
      <c r="F5" s="466" t="s">
        <v>651</v>
      </c>
      <c r="G5" s="466" t="s">
        <v>652</v>
      </c>
      <c r="H5" s="466" t="s">
        <v>653</v>
      </c>
      <c r="I5" s="466" t="s">
        <v>654</v>
      </c>
    </row>
    <row r="6" spans="1:10" ht="26.25">
      <c r="A6" s="142"/>
      <c r="B6" s="143" t="str">
        <f>IFERROR(INDEX(_12.1[],MATCH(språk,_12.1[[id]:[id]],0),MATCH(B$5,_12.1[#Headers],0)),"")</f>
        <v>Coal, peat, shale oil</v>
      </c>
      <c r="C6" s="143" t="str">
        <f>IFERROR(INDEX(_12.1[],MATCH(språk,_12.1[[id]:[id]],0),MATCH(C$5,_12.1[#Headers],0)),"")</f>
        <v xml:space="preserve">Oil </v>
      </c>
      <c r="D6" s="143" t="str">
        <f>IFERROR(INDEX(_12.1[],MATCH(språk,_12.1[[id]:[id]],0),MATCH(D$5,_12.1[#Headers],0)),"")</f>
        <v>Gas</v>
      </c>
      <c r="E6" s="143" t="str">
        <f>IFERROR(INDEX(_12.1[],MATCH(språk,_12.1[[id]:[id]],0),MATCH(E$5,_12.1[#Headers],0)),"")</f>
        <v>Nuclear power</v>
      </c>
      <c r="F6" s="143" t="str">
        <f>IFERROR(INDEX(_12.1[],MATCH(språk,_12.1[[id]:[id]],0),MATCH(F$5,_12.1[#Headers],0)),"")</f>
        <v>Hydropower</v>
      </c>
      <c r="G6" s="143" t="str">
        <f>IFERROR(INDEX(_12.1[],MATCH(språk,_12.1[[id]:[id]],0),MATCH(G$5,_12.1[#Headers],0)),"")</f>
        <v>Geothermal, solar etc.</v>
      </c>
      <c r="H6" s="143" t="str">
        <f>IFERROR(INDEX(_12.1[],MATCH(språk,_12.1[[id]:[id]],0),MATCH(H$5,_12.1[#Headers],0)),"")</f>
        <v>Biomass, waste</v>
      </c>
      <c r="I6" s="143" t="str">
        <f>IFERROR(INDEX(_12.1[],MATCH(språk,_12.1[[id]:[id]],0),MATCH(I$5,_12.1[#Headers],0)),"")</f>
        <v>Other</v>
      </c>
      <c r="J6" s="235" t="str">
        <f>IF(språk=lista[[#Headers],[Svenska]],"Totalt",IF(språk=lista[[#Headers],[English]],"Total","FEL"))</f>
        <v>Total</v>
      </c>
    </row>
    <row r="7" spans="1:10" ht="15.95" customHeight="1">
      <c r="A7" s="802">
        <v>1990</v>
      </c>
      <c r="B7" s="807">
        <v>25827.14805</v>
      </c>
      <c r="C7" s="807">
        <v>37590.33481</v>
      </c>
      <c r="D7" s="807">
        <v>19342.574059999999</v>
      </c>
      <c r="E7" s="807">
        <v>6112.8908199999996</v>
      </c>
      <c r="F7" s="807">
        <v>2144.93253</v>
      </c>
      <c r="G7" s="807">
        <v>424.97183000000001</v>
      </c>
      <c r="H7" s="807">
        <v>10527.627189999999</v>
      </c>
      <c r="I7" s="807">
        <v>3.9309400000000001</v>
      </c>
      <c r="J7" s="808">
        <v>101974.41023000001</v>
      </c>
    </row>
    <row r="8" spans="1:10" ht="15.95" customHeight="1">
      <c r="A8" s="144">
        <v>1991</v>
      </c>
      <c r="B8" s="688">
        <v>25139.41963</v>
      </c>
      <c r="C8" s="688">
        <v>37773.40264</v>
      </c>
      <c r="D8" s="688">
        <v>20011.845669999999</v>
      </c>
      <c r="E8" s="688">
        <v>6394.1158500000001</v>
      </c>
      <c r="F8" s="688">
        <v>2212.0492599999998</v>
      </c>
      <c r="G8" s="688">
        <v>433.60129000000001</v>
      </c>
      <c r="H8" s="688">
        <v>10698.716119999999</v>
      </c>
      <c r="I8" s="688">
        <v>0.90713999999999995</v>
      </c>
      <c r="J8" s="689">
        <v>102664.0576</v>
      </c>
    </row>
    <row r="9" spans="1:10" ht="15.95" customHeight="1">
      <c r="A9" s="802">
        <v>1992</v>
      </c>
      <c r="B9" s="807">
        <v>24715.68058</v>
      </c>
      <c r="C9" s="807">
        <v>37972.717579999997</v>
      </c>
      <c r="D9" s="807">
        <v>20034.686989999998</v>
      </c>
      <c r="E9" s="807">
        <v>6445.7879400000002</v>
      </c>
      <c r="F9" s="807">
        <v>2211.1653799999999</v>
      </c>
      <c r="G9" s="807">
        <v>452.65123</v>
      </c>
      <c r="H9" s="807">
        <v>10927.32703</v>
      </c>
      <c r="I9" s="807">
        <v>7.7106899999999996</v>
      </c>
      <c r="J9" s="808">
        <v>102767.72742000001</v>
      </c>
    </row>
    <row r="10" spans="1:10" ht="15.95" customHeight="1">
      <c r="A10" s="144">
        <v>1993</v>
      </c>
      <c r="B10" s="688">
        <v>24786.937589999998</v>
      </c>
      <c r="C10" s="688">
        <v>38218.075689999998</v>
      </c>
      <c r="D10" s="688">
        <v>20371.910469999999</v>
      </c>
      <c r="E10" s="688">
        <v>6646.3589199999997</v>
      </c>
      <c r="F10" s="688">
        <v>2340.5258699999999</v>
      </c>
      <c r="G10" s="688">
        <v>465.13022000000001</v>
      </c>
      <c r="H10" s="688">
        <v>10942.4344</v>
      </c>
      <c r="I10" s="688">
        <v>-5.6172899999999997</v>
      </c>
      <c r="J10" s="689">
        <v>103765.75587000001</v>
      </c>
    </row>
    <row r="11" spans="1:10" ht="15.95" customHeight="1">
      <c r="A11" s="802">
        <v>1994</v>
      </c>
      <c r="B11" s="807">
        <v>25016.5952</v>
      </c>
      <c r="C11" s="807">
        <v>38437.743130000003</v>
      </c>
      <c r="D11" s="807">
        <v>20363.885770000001</v>
      </c>
      <c r="E11" s="807">
        <v>6802.6428599999999</v>
      </c>
      <c r="F11" s="807">
        <v>2360.8667399999999</v>
      </c>
      <c r="G11" s="807">
        <v>486.52942000000002</v>
      </c>
      <c r="H11" s="807">
        <v>11055.33844</v>
      </c>
      <c r="I11" s="807">
        <v>3.5820400000000001</v>
      </c>
      <c r="J11" s="808">
        <v>104527.18359999997</v>
      </c>
    </row>
    <row r="12" spans="1:10" ht="15.95" customHeight="1">
      <c r="A12" s="144">
        <v>1995</v>
      </c>
      <c r="B12" s="688">
        <v>25681.935870000001</v>
      </c>
      <c r="C12" s="688">
        <v>39215.569159999999</v>
      </c>
      <c r="D12" s="688">
        <v>21018.480319999999</v>
      </c>
      <c r="E12" s="688">
        <v>7073.4590399999997</v>
      </c>
      <c r="F12" s="688">
        <v>2480.8534500000001</v>
      </c>
      <c r="G12" s="688">
        <v>493.68187</v>
      </c>
      <c r="H12" s="688">
        <v>11249.466399999999</v>
      </c>
      <c r="I12" s="688">
        <v>2.91913</v>
      </c>
      <c r="J12" s="689">
        <v>107216.36524</v>
      </c>
    </row>
    <row r="13" spans="1:10" ht="15.95" customHeight="1">
      <c r="A13" s="802">
        <v>1996</v>
      </c>
      <c r="B13" s="807">
        <v>26107.77995</v>
      </c>
      <c r="C13" s="807">
        <v>40226.983739999996</v>
      </c>
      <c r="D13" s="807">
        <v>21784.164629999999</v>
      </c>
      <c r="E13" s="807">
        <v>7332.4707699999999</v>
      </c>
      <c r="F13" s="807">
        <v>2514.6153399999998</v>
      </c>
      <c r="G13" s="807">
        <v>523.64075000000003</v>
      </c>
      <c r="H13" s="807">
        <v>11411.78631</v>
      </c>
      <c r="I13" s="807">
        <v>24.376480000000001</v>
      </c>
      <c r="J13" s="808">
        <v>109925.81797</v>
      </c>
    </row>
    <row r="14" spans="1:10" ht="15.95" customHeight="1">
      <c r="A14" s="144">
        <v>1997</v>
      </c>
      <c r="B14" s="688">
        <v>25917.396850000001</v>
      </c>
      <c r="C14" s="688">
        <v>41235.141920000002</v>
      </c>
      <c r="D14" s="688">
        <v>21972.814859999999</v>
      </c>
      <c r="E14" s="688">
        <v>7258.8528699999997</v>
      </c>
      <c r="F14" s="688">
        <v>2544.8766000000001</v>
      </c>
      <c r="G14" s="688">
        <v>534.17752999999993</v>
      </c>
      <c r="H14" s="688">
        <v>11534.79682</v>
      </c>
      <c r="I14" s="688">
        <v>18.875489999999999</v>
      </c>
      <c r="J14" s="689">
        <v>111016.93294000001</v>
      </c>
    </row>
    <row r="15" spans="1:10" ht="15.95" customHeight="1">
      <c r="A15" s="802">
        <v>1998</v>
      </c>
      <c r="B15" s="807">
        <v>25844.26741</v>
      </c>
      <c r="C15" s="807">
        <v>41355.547310000002</v>
      </c>
      <c r="D15" s="807">
        <v>22179.18921</v>
      </c>
      <c r="E15" s="807">
        <v>7416.2649199999996</v>
      </c>
      <c r="F15" s="807">
        <v>2557.2625499999999</v>
      </c>
      <c r="G15" s="807">
        <v>568.36973</v>
      </c>
      <c r="H15" s="807">
        <v>11640.908939999999</v>
      </c>
      <c r="I15" s="807">
        <v>19.456990000000001</v>
      </c>
      <c r="J15" s="808">
        <v>111581.26706</v>
      </c>
    </row>
    <row r="16" spans="1:10" ht="15.95" customHeight="1">
      <c r="A16" s="144">
        <v>1999</v>
      </c>
      <c r="B16" s="688">
        <v>25944.552899999999</v>
      </c>
      <c r="C16" s="688">
        <v>42164.972049999997</v>
      </c>
      <c r="D16" s="688">
        <v>23184.881829999998</v>
      </c>
      <c r="E16" s="688">
        <v>7676.9629999999997</v>
      </c>
      <c r="F16" s="688">
        <v>2563.6823100000001</v>
      </c>
      <c r="G16" s="688">
        <v>624.81011999999998</v>
      </c>
      <c r="H16" s="688">
        <v>11808.811249999999</v>
      </c>
      <c r="I16" s="688">
        <v>17.386849999999999</v>
      </c>
      <c r="J16" s="689">
        <v>113986.06030999999</v>
      </c>
    </row>
    <row r="17" spans="1:10" ht="15.95" customHeight="1">
      <c r="A17" s="802">
        <v>2000</v>
      </c>
      <c r="B17" s="807">
        <v>27243.49597</v>
      </c>
      <c r="C17" s="807">
        <v>42560.950290000001</v>
      </c>
      <c r="D17" s="807">
        <v>24040.849829999999</v>
      </c>
      <c r="E17" s="807">
        <v>7857.0884399999995</v>
      </c>
      <c r="F17" s="807">
        <v>2620.2041100000001</v>
      </c>
      <c r="G17" s="807">
        <v>699.31190000000004</v>
      </c>
      <c r="H17" s="807">
        <v>11917.28426</v>
      </c>
      <c r="I17" s="807">
        <v>18.631260000000001</v>
      </c>
      <c r="J17" s="808">
        <v>116957.81605999998</v>
      </c>
    </row>
    <row r="18" spans="1:10" ht="15.95" customHeight="1">
      <c r="A18" s="144">
        <v>2001</v>
      </c>
      <c r="B18" s="688">
        <v>27444.892680000001</v>
      </c>
      <c r="C18" s="688">
        <v>43076.554709999997</v>
      </c>
      <c r="D18" s="688">
        <v>24160.196889999999</v>
      </c>
      <c r="E18" s="688">
        <v>8000.5328600000003</v>
      </c>
      <c r="F18" s="688">
        <v>2562.9845099999998</v>
      </c>
      <c r="G18" s="688">
        <v>718.30368999999996</v>
      </c>
      <c r="H18" s="688">
        <v>11942.0329</v>
      </c>
      <c r="I18" s="688">
        <v>14.932919999999999</v>
      </c>
      <c r="J18" s="689">
        <v>117920.43116000002</v>
      </c>
    </row>
    <row r="19" spans="1:10" ht="15.95" customHeight="1">
      <c r="A19" s="802">
        <v>2002</v>
      </c>
      <c r="B19" s="807">
        <v>28198.16778</v>
      </c>
      <c r="C19" s="807">
        <v>43470.218580000001</v>
      </c>
      <c r="D19" s="807">
        <v>25028.225200000001</v>
      </c>
      <c r="E19" s="807">
        <v>8070.4756799999996</v>
      </c>
      <c r="F19" s="807">
        <v>2630.1593899999998</v>
      </c>
      <c r="G19" s="807">
        <v>688.51926000000003</v>
      </c>
      <c r="H19" s="807">
        <v>12157.339089999999</v>
      </c>
      <c r="I19" s="807">
        <v>21.154969999999999</v>
      </c>
      <c r="J19" s="808">
        <v>120264.25995000001</v>
      </c>
    </row>
    <row r="20" spans="1:10" ht="15.95" customHeight="1">
      <c r="A20" s="144">
        <v>2003</v>
      </c>
      <c r="B20" s="688">
        <v>30283.31048</v>
      </c>
      <c r="C20" s="688">
        <v>44374.613899999997</v>
      </c>
      <c r="D20" s="688">
        <v>25922.723389999999</v>
      </c>
      <c r="E20" s="688">
        <v>7993.4501899999996</v>
      </c>
      <c r="F20" s="688">
        <v>2641.9522099999999</v>
      </c>
      <c r="G20" s="688">
        <v>730.11977000000002</v>
      </c>
      <c r="H20" s="688">
        <v>12457.0093</v>
      </c>
      <c r="I20" s="688">
        <v>7.5013499999999995</v>
      </c>
      <c r="J20" s="689">
        <v>124410.68059000002</v>
      </c>
    </row>
    <row r="21" spans="1:10" ht="15.95" customHeight="1">
      <c r="A21" s="802">
        <v>2004</v>
      </c>
      <c r="B21" s="807">
        <v>32829.931579999997</v>
      </c>
      <c r="C21" s="807">
        <v>46227.796249999999</v>
      </c>
      <c r="D21" s="807">
        <v>26571.212189999998</v>
      </c>
      <c r="E21" s="807">
        <v>8304.8783299999996</v>
      </c>
      <c r="F21" s="807">
        <v>2812.80854</v>
      </c>
      <c r="G21" s="807">
        <v>781.93142</v>
      </c>
      <c r="H21" s="807">
        <v>12757.44709</v>
      </c>
      <c r="I21" s="807">
        <v>8.22241</v>
      </c>
      <c r="J21" s="808">
        <v>130294.22780999998</v>
      </c>
    </row>
    <row r="22" spans="1:10" ht="15.95" customHeight="1">
      <c r="A22" s="144">
        <v>2005</v>
      </c>
      <c r="B22" s="688">
        <v>34311.186529999999</v>
      </c>
      <c r="C22" s="688">
        <v>46596.944080000001</v>
      </c>
      <c r="D22" s="688">
        <v>27355.865030000001</v>
      </c>
      <c r="E22" s="688">
        <v>8394.9410499999994</v>
      </c>
      <c r="F22" s="688">
        <v>2932.66732</v>
      </c>
      <c r="G22" s="688">
        <v>816.71674999999993</v>
      </c>
      <c r="H22" s="688">
        <v>13106.45176</v>
      </c>
      <c r="I22" s="688">
        <v>8.1293699999999998</v>
      </c>
      <c r="J22" s="689">
        <v>133522.90189000001</v>
      </c>
    </row>
    <row r="23" spans="1:10" ht="15.95" customHeight="1">
      <c r="A23" s="802">
        <v>2006</v>
      </c>
      <c r="B23" s="807">
        <v>36318.152369999996</v>
      </c>
      <c r="C23" s="807">
        <v>47128.469969999998</v>
      </c>
      <c r="D23" s="807">
        <v>28051.10643</v>
      </c>
      <c r="E23" s="807">
        <v>8466.74467</v>
      </c>
      <c r="F23" s="807">
        <v>3043.3151399999997</v>
      </c>
      <c r="G23" s="807">
        <v>873.49441000000002</v>
      </c>
      <c r="H23" s="807">
        <v>13424.567149999999</v>
      </c>
      <c r="I23" s="807">
        <v>9.3854100000000003</v>
      </c>
      <c r="J23" s="808">
        <v>137315.23554999998</v>
      </c>
    </row>
    <row r="24" spans="1:10" ht="15.95" customHeight="1">
      <c r="A24" s="144">
        <v>2007</v>
      </c>
      <c r="B24" s="688">
        <v>37607.407650000001</v>
      </c>
      <c r="C24" s="688">
        <v>47484.975989999999</v>
      </c>
      <c r="D24" s="688">
        <v>29352.794180000001</v>
      </c>
      <c r="E24" s="688">
        <v>8249.6009400000003</v>
      </c>
      <c r="F24" s="688">
        <v>3082.9850699999997</v>
      </c>
      <c r="G24" s="688">
        <v>956.88150999999993</v>
      </c>
      <c r="H24" s="688">
        <v>13776.363019999999</v>
      </c>
      <c r="I24" s="688">
        <v>12.82789</v>
      </c>
      <c r="J24" s="689">
        <v>140523.83624999999</v>
      </c>
    </row>
    <row r="25" spans="1:10" ht="15.95" customHeight="1">
      <c r="A25" s="802">
        <v>2008</v>
      </c>
      <c r="B25" s="807">
        <v>37857.46428</v>
      </c>
      <c r="C25" s="807">
        <v>47456.470860000001</v>
      </c>
      <c r="D25" s="807">
        <v>30125.247149999999</v>
      </c>
      <c r="E25" s="807">
        <v>8291.2712300000003</v>
      </c>
      <c r="F25" s="807">
        <v>3210.42661</v>
      </c>
      <c r="G25" s="807">
        <v>1067.22695</v>
      </c>
      <c r="H25" s="807">
        <v>14110.84182</v>
      </c>
      <c r="I25" s="807">
        <v>9.7808299999999999</v>
      </c>
      <c r="J25" s="808">
        <v>142128.72972999999</v>
      </c>
    </row>
    <row r="26" spans="1:10" ht="15.95" customHeight="1">
      <c r="A26" s="144">
        <v>2009</v>
      </c>
      <c r="B26" s="688">
        <v>38135.0026</v>
      </c>
      <c r="C26" s="688">
        <v>46540.503689999998</v>
      </c>
      <c r="D26" s="688">
        <v>29455.056769999999</v>
      </c>
      <c r="E26" s="688">
        <v>8179.4604099999997</v>
      </c>
      <c r="F26" s="688">
        <v>3265.0410899999997</v>
      </c>
      <c r="G26" s="688">
        <v>1190.2839799999999</v>
      </c>
      <c r="H26" s="688">
        <v>14358.758529999999</v>
      </c>
      <c r="I26" s="688">
        <v>13.71177</v>
      </c>
      <c r="J26" s="689">
        <v>141137.81883999996</v>
      </c>
    </row>
    <row r="27" spans="1:10" ht="15.95" customHeight="1">
      <c r="A27" s="802">
        <v>2010</v>
      </c>
      <c r="B27" s="807">
        <v>40775.396390000002</v>
      </c>
      <c r="C27" s="807">
        <v>48048.030809999997</v>
      </c>
      <c r="D27" s="807">
        <v>31820.715069999998</v>
      </c>
      <c r="E27" s="807">
        <v>8361.4931699999997</v>
      </c>
      <c r="F27" s="807">
        <v>3441.6310100000001</v>
      </c>
      <c r="G27" s="807">
        <v>1303.3392099999999</v>
      </c>
      <c r="H27" s="807">
        <v>14965.949199999999</v>
      </c>
      <c r="I27" s="807">
        <v>19.4221</v>
      </c>
      <c r="J27" s="808">
        <v>148735.97696000003</v>
      </c>
    </row>
    <row r="28" spans="1:10" ht="15.95" customHeight="1">
      <c r="A28" s="144">
        <v>2011</v>
      </c>
      <c r="B28" s="688">
        <v>44075.513559999999</v>
      </c>
      <c r="C28" s="688">
        <v>48125.521499999995</v>
      </c>
      <c r="D28" s="688">
        <v>32451.8868</v>
      </c>
      <c r="E28" s="688">
        <v>7835.2821899999999</v>
      </c>
      <c r="F28" s="688">
        <v>3506.85205</v>
      </c>
      <c r="G28" s="688">
        <v>1481.3131000000001</v>
      </c>
      <c r="H28" s="688">
        <v>15247.83714</v>
      </c>
      <c r="I28" s="688">
        <v>21.166599999999999</v>
      </c>
      <c r="J28" s="689">
        <v>152745.37293999997</v>
      </c>
    </row>
    <row r="29" spans="1:10" ht="15.95" customHeight="1">
      <c r="A29" s="802">
        <v>2012</v>
      </c>
      <c r="B29" s="807">
        <v>44634.335059999998</v>
      </c>
      <c r="C29" s="807">
        <v>48936.190649999997</v>
      </c>
      <c r="D29" s="807">
        <v>33038.283029999999</v>
      </c>
      <c r="E29" s="807">
        <v>7464.4829</v>
      </c>
      <c r="F29" s="807">
        <v>3670.1139899999998</v>
      </c>
      <c r="G29" s="807">
        <v>1652.4136599999999</v>
      </c>
      <c r="H29" s="807">
        <v>15586.45622</v>
      </c>
      <c r="I29" s="807">
        <v>21.620169999999998</v>
      </c>
      <c r="J29" s="808">
        <v>155003.89567999999</v>
      </c>
    </row>
    <row r="30" spans="1:10" ht="15.95" customHeight="1">
      <c r="A30" s="144">
        <v>2013</v>
      </c>
      <c r="B30" s="688">
        <v>45440.898820000002</v>
      </c>
      <c r="C30" s="688">
        <v>49030.358759999996</v>
      </c>
      <c r="D30" s="688">
        <v>33749.538939999999</v>
      </c>
      <c r="E30" s="688">
        <v>7518.7601100000002</v>
      </c>
      <c r="F30" s="688">
        <v>3790.9613199999999</v>
      </c>
      <c r="G30" s="688">
        <v>1878.4892299999999</v>
      </c>
      <c r="H30" s="688">
        <v>16015.696259999999</v>
      </c>
      <c r="I30" s="688">
        <v>60.406219999999998</v>
      </c>
      <c r="J30" s="689">
        <v>157485.10966000002</v>
      </c>
    </row>
    <row r="31" spans="1:10" ht="15.95" customHeight="1">
      <c r="A31" s="802">
        <v>2014</v>
      </c>
      <c r="B31" s="807">
        <v>45572.050329999998</v>
      </c>
      <c r="C31" s="807">
        <v>49838.038999999997</v>
      </c>
      <c r="D31" s="807">
        <v>33733.733769999999</v>
      </c>
      <c r="E31" s="807">
        <v>7691.53539</v>
      </c>
      <c r="F31" s="807">
        <v>3895.4103500000001</v>
      </c>
      <c r="G31" s="807">
        <v>2105.8673599999997</v>
      </c>
      <c r="H31" s="807">
        <v>16432.120039999998</v>
      </c>
      <c r="I31" s="807">
        <v>52.090769999999999</v>
      </c>
      <c r="J31" s="808">
        <v>159320.84701</v>
      </c>
    </row>
    <row r="33" spans="1:6" s="174" customFormat="1" ht="15">
      <c r="A33" s="181" t="s">
        <v>421</v>
      </c>
      <c r="B33" s="180"/>
      <c r="C33" s="180"/>
      <c r="D33" s="180"/>
      <c r="E33" s="180"/>
      <c r="F33" s="18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theme="0"/>
  </sheetPr>
  <dimension ref="A1:E33"/>
  <sheetViews>
    <sheetView zoomScaleNormal="100" workbookViewId="0">
      <pane ySplit="6" topLeftCell="A7" activePane="bottomLeft" state="frozen"/>
      <selection pane="bottomLeft" activeCell="B1" sqref="B1"/>
    </sheetView>
  </sheetViews>
  <sheetFormatPr defaultRowHeight="12.75"/>
  <cols>
    <col min="1" max="1" width="11.73046875" style="457" customWidth="1"/>
    <col min="2" max="4" width="15.265625" style="458" customWidth="1"/>
    <col min="5" max="5" width="15.265625" style="466" customWidth="1"/>
    <col min="6" max="249" width="9.1328125" style="466"/>
    <col min="250" max="250" width="5.59765625" style="466" customWidth="1"/>
    <col min="251" max="257" width="9.86328125" style="466" customWidth="1"/>
    <col min="258" max="505" width="9.1328125" style="466"/>
    <col min="506" max="506" width="5.59765625" style="466" customWidth="1"/>
    <col min="507" max="513" width="9.86328125" style="466" customWidth="1"/>
    <col min="514" max="761" width="9.1328125" style="466"/>
    <col min="762" max="762" width="5.59765625" style="466" customWidth="1"/>
    <col min="763" max="769" width="9.86328125" style="466" customWidth="1"/>
    <col min="770" max="1017" width="9.1328125" style="466"/>
    <col min="1018" max="1018" width="5.59765625" style="466" customWidth="1"/>
    <col min="1019" max="1025" width="9.86328125" style="466" customWidth="1"/>
    <col min="1026" max="1273" width="9.1328125" style="466"/>
    <col min="1274" max="1274" width="5.59765625" style="466" customWidth="1"/>
    <col min="1275" max="1281" width="9.86328125" style="466" customWidth="1"/>
    <col min="1282" max="1529" width="9.1328125" style="466"/>
    <col min="1530" max="1530" width="5.59765625" style="466" customWidth="1"/>
    <col min="1531" max="1537" width="9.86328125" style="466" customWidth="1"/>
    <col min="1538" max="1785" width="9.1328125" style="466"/>
    <col min="1786" max="1786" width="5.59765625" style="466" customWidth="1"/>
    <col min="1787" max="1793" width="9.86328125" style="466" customWidth="1"/>
    <col min="1794" max="2041" width="9.1328125" style="466"/>
    <col min="2042" max="2042" width="5.59765625" style="466" customWidth="1"/>
    <col min="2043" max="2049" width="9.86328125" style="466" customWidth="1"/>
    <col min="2050" max="2297" width="9.1328125" style="466"/>
    <col min="2298" max="2298" width="5.59765625" style="466" customWidth="1"/>
    <col min="2299" max="2305" width="9.86328125" style="466" customWidth="1"/>
    <col min="2306" max="2553" width="9.1328125" style="466"/>
    <col min="2554" max="2554" width="5.59765625" style="466" customWidth="1"/>
    <col min="2555" max="2561" width="9.86328125" style="466" customWidth="1"/>
    <col min="2562" max="2809" width="9.1328125" style="466"/>
    <col min="2810" max="2810" width="5.59765625" style="466" customWidth="1"/>
    <col min="2811" max="2817" width="9.86328125" style="466" customWidth="1"/>
    <col min="2818" max="3065" width="9.1328125" style="466"/>
    <col min="3066" max="3066" width="5.59765625" style="466" customWidth="1"/>
    <col min="3067" max="3073" width="9.86328125" style="466" customWidth="1"/>
    <col min="3074" max="3321" width="9.1328125" style="466"/>
    <col min="3322" max="3322" width="5.59765625" style="466" customWidth="1"/>
    <col min="3323" max="3329" width="9.86328125" style="466" customWidth="1"/>
    <col min="3330" max="3577" width="9.1328125" style="466"/>
    <col min="3578" max="3578" width="5.59765625" style="466" customWidth="1"/>
    <col min="3579" max="3585" width="9.86328125" style="466" customWidth="1"/>
    <col min="3586" max="3833" width="9.1328125" style="466"/>
    <col min="3834" max="3834" width="5.59765625" style="466" customWidth="1"/>
    <col min="3835" max="3841" width="9.86328125" style="466" customWidth="1"/>
    <col min="3842" max="4089" width="9.1328125" style="466"/>
    <col min="4090" max="4090" width="5.59765625" style="466" customWidth="1"/>
    <col min="4091" max="4097" width="9.86328125" style="466" customWidth="1"/>
    <col min="4098" max="4345" width="9.1328125" style="466"/>
    <col min="4346" max="4346" width="5.59765625" style="466" customWidth="1"/>
    <col min="4347" max="4353" width="9.86328125" style="466" customWidth="1"/>
    <col min="4354" max="4601" width="9.1328125" style="466"/>
    <col min="4602" max="4602" width="5.59765625" style="466" customWidth="1"/>
    <col min="4603" max="4609" width="9.86328125" style="466" customWidth="1"/>
    <col min="4610" max="4857" width="9.1328125" style="466"/>
    <col min="4858" max="4858" width="5.59765625" style="466" customWidth="1"/>
    <col min="4859" max="4865" width="9.86328125" style="466" customWidth="1"/>
    <col min="4866" max="5113" width="9.1328125" style="466"/>
    <col min="5114" max="5114" width="5.59765625" style="466" customWidth="1"/>
    <col min="5115" max="5121" width="9.86328125" style="466" customWidth="1"/>
    <col min="5122" max="5369" width="9.1328125" style="466"/>
    <col min="5370" max="5370" width="5.59765625" style="466" customWidth="1"/>
    <col min="5371" max="5377" width="9.86328125" style="466" customWidth="1"/>
    <col min="5378" max="5625" width="9.1328125" style="466"/>
    <col min="5626" max="5626" width="5.59765625" style="466" customWidth="1"/>
    <col min="5627" max="5633" width="9.86328125" style="466" customWidth="1"/>
    <col min="5634" max="5881" width="9.1328125" style="466"/>
    <col min="5882" max="5882" width="5.59765625" style="466" customWidth="1"/>
    <col min="5883" max="5889" width="9.86328125" style="466" customWidth="1"/>
    <col min="5890" max="6137" width="9.1328125" style="466"/>
    <col min="6138" max="6138" width="5.59765625" style="466" customWidth="1"/>
    <col min="6139" max="6145" width="9.86328125" style="466" customWidth="1"/>
    <col min="6146" max="6393" width="9.1328125" style="466"/>
    <col min="6394" max="6394" width="5.59765625" style="466" customWidth="1"/>
    <col min="6395" max="6401" width="9.86328125" style="466" customWidth="1"/>
    <col min="6402" max="6649" width="9.1328125" style="466"/>
    <col min="6650" max="6650" width="5.59765625" style="466" customWidth="1"/>
    <col min="6651" max="6657" width="9.86328125" style="466" customWidth="1"/>
    <col min="6658" max="6905" width="9.1328125" style="466"/>
    <col min="6906" max="6906" width="5.59765625" style="466" customWidth="1"/>
    <col min="6907" max="6913" width="9.86328125" style="466" customWidth="1"/>
    <col min="6914" max="7161" width="9.1328125" style="466"/>
    <col min="7162" max="7162" width="5.59765625" style="466" customWidth="1"/>
    <col min="7163" max="7169" width="9.86328125" style="466" customWidth="1"/>
    <col min="7170" max="7417" width="9.1328125" style="466"/>
    <col min="7418" max="7418" width="5.59765625" style="466" customWidth="1"/>
    <col min="7419" max="7425" width="9.86328125" style="466" customWidth="1"/>
    <col min="7426" max="7673" width="9.1328125" style="466"/>
    <col min="7674" max="7674" width="5.59765625" style="466" customWidth="1"/>
    <col min="7675" max="7681" width="9.86328125" style="466" customWidth="1"/>
    <col min="7682" max="7929" width="9.1328125" style="466"/>
    <col min="7930" max="7930" width="5.59765625" style="466" customWidth="1"/>
    <col min="7931" max="7937" width="9.86328125" style="466" customWidth="1"/>
    <col min="7938" max="8185" width="9.1328125" style="466"/>
    <col min="8186" max="8186" width="5.59765625" style="466" customWidth="1"/>
    <col min="8187" max="8193" width="9.86328125" style="466" customWidth="1"/>
    <col min="8194" max="8441" width="9.1328125" style="466"/>
    <col min="8442" max="8442" width="5.59765625" style="466" customWidth="1"/>
    <col min="8443" max="8449" width="9.86328125" style="466" customWidth="1"/>
    <col min="8450" max="8697" width="9.1328125" style="466"/>
    <col min="8698" max="8698" width="5.59765625" style="466" customWidth="1"/>
    <col min="8699" max="8705" width="9.86328125" style="466" customWidth="1"/>
    <col min="8706" max="8953" width="9.1328125" style="466"/>
    <col min="8954" max="8954" width="5.59765625" style="466" customWidth="1"/>
    <col min="8955" max="8961" width="9.86328125" style="466" customWidth="1"/>
    <col min="8962" max="9209" width="9.1328125" style="466"/>
    <col min="9210" max="9210" width="5.59765625" style="466" customWidth="1"/>
    <col min="9211" max="9217" width="9.86328125" style="466" customWidth="1"/>
    <col min="9218" max="9465" width="9.1328125" style="466"/>
    <col min="9466" max="9466" width="5.59765625" style="466" customWidth="1"/>
    <col min="9467" max="9473" width="9.86328125" style="466" customWidth="1"/>
    <col min="9474" max="9721" width="9.1328125" style="466"/>
    <col min="9722" max="9722" width="5.59765625" style="466" customWidth="1"/>
    <col min="9723" max="9729" width="9.86328125" style="466" customWidth="1"/>
    <col min="9730" max="9977" width="9.1328125" style="466"/>
    <col min="9978" max="9978" width="5.59765625" style="466" customWidth="1"/>
    <col min="9979" max="9985" width="9.86328125" style="466" customWidth="1"/>
    <col min="9986" max="10233" width="9.1328125" style="466"/>
    <col min="10234" max="10234" width="5.59765625" style="466" customWidth="1"/>
    <col min="10235" max="10241" width="9.86328125" style="466" customWidth="1"/>
    <col min="10242" max="10489" width="9.1328125" style="466"/>
    <col min="10490" max="10490" width="5.59765625" style="466" customWidth="1"/>
    <col min="10491" max="10497" width="9.86328125" style="466" customWidth="1"/>
    <col min="10498" max="10745" width="9.1328125" style="466"/>
    <col min="10746" max="10746" width="5.59765625" style="466" customWidth="1"/>
    <col min="10747" max="10753" width="9.86328125" style="466" customWidth="1"/>
    <col min="10754" max="11001" width="9.1328125" style="466"/>
    <col min="11002" max="11002" width="5.59765625" style="466" customWidth="1"/>
    <col min="11003" max="11009" width="9.86328125" style="466" customWidth="1"/>
    <col min="11010" max="11257" width="9.1328125" style="466"/>
    <col min="11258" max="11258" width="5.59765625" style="466" customWidth="1"/>
    <col min="11259" max="11265" width="9.86328125" style="466" customWidth="1"/>
    <col min="11266" max="11513" width="9.1328125" style="466"/>
    <col min="11514" max="11514" width="5.59765625" style="466" customWidth="1"/>
    <col min="11515" max="11521" width="9.86328125" style="466" customWidth="1"/>
    <col min="11522" max="11769" width="9.1328125" style="466"/>
    <col min="11770" max="11770" width="5.59765625" style="466" customWidth="1"/>
    <col min="11771" max="11777" width="9.86328125" style="466" customWidth="1"/>
    <col min="11778" max="12025" width="9.1328125" style="466"/>
    <col min="12026" max="12026" width="5.59765625" style="466" customWidth="1"/>
    <col min="12027" max="12033" width="9.86328125" style="466" customWidth="1"/>
    <col min="12034" max="12281" width="9.1328125" style="466"/>
    <col min="12282" max="12282" width="5.59765625" style="466" customWidth="1"/>
    <col min="12283" max="12289" width="9.86328125" style="466" customWidth="1"/>
    <col min="12290" max="12537" width="9.1328125" style="466"/>
    <col min="12538" max="12538" width="5.59765625" style="466" customWidth="1"/>
    <col min="12539" max="12545" width="9.86328125" style="466" customWidth="1"/>
    <col min="12546" max="12793" width="9.1328125" style="466"/>
    <col min="12794" max="12794" width="5.59765625" style="466" customWidth="1"/>
    <col min="12795" max="12801" width="9.86328125" style="466" customWidth="1"/>
    <col min="12802" max="13049" width="9.1328125" style="466"/>
    <col min="13050" max="13050" width="5.59765625" style="466" customWidth="1"/>
    <col min="13051" max="13057" width="9.86328125" style="466" customWidth="1"/>
    <col min="13058" max="13305" width="9.1328125" style="466"/>
    <col min="13306" max="13306" width="5.59765625" style="466" customWidth="1"/>
    <col min="13307" max="13313" width="9.86328125" style="466" customWidth="1"/>
    <col min="13314" max="13561" width="9.1328125" style="466"/>
    <col min="13562" max="13562" width="5.59765625" style="466" customWidth="1"/>
    <col min="13563" max="13569" width="9.86328125" style="466" customWidth="1"/>
    <col min="13570" max="13817" width="9.1328125" style="466"/>
    <col min="13818" max="13818" width="5.59765625" style="466" customWidth="1"/>
    <col min="13819" max="13825" width="9.86328125" style="466" customWidth="1"/>
    <col min="13826" max="14073" width="9.1328125" style="466"/>
    <col min="14074" max="14074" width="5.59765625" style="466" customWidth="1"/>
    <col min="14075" max="14081" width="9.86328125" style="466" customWidth="1"/>
    <col min="14082" max="14329" width="9.1328125" style="466"/>
    <col min="14330" max="14330" width="5.59765625" style="466" customWidth="1"/>
    <col min="14331" max="14337" width="9.86328125" style="466" customWidth="1"/>
    <col min="14338" max="14585" width="9.1328125" style="466"/>
    <col min="14586" max="14586" width="5.59765625" style="466" customWidth="1"/>
    <col min="14587" max="14593" width="9.86328125" style="466" customWidth="1"/>
    <col min="14594" max="14841" width="9.1328125" style="466"/>
    <col min="14842" max="14842" width="5.59765625" style="466" customWidth="1"/>
    <col min="14843" max="14849" width="9.86328125" style="466" customWidth="1"/>
    <col min="14850" max="15097" width="9.1328125" style="466"/>
    <col min="15098" max="15098" width="5.59765625" style="466" customWidth="1"/>
    <col min="15099" max="15105" width="9.86328125" style="466" customWidth="1"/>
    <col min="15106" max="15353" width="9.1328125" style="466"/>
    <col min="15354" max="15354" width="5.59765625" style="466" customWidth="1"/>
    <col min="15355" max="15361" width="9.86328125" style="466" customWidth="1"/>
    <col min="15362" max="15609" width="9.1328125" style="466"/>
    <col min="15610" max="15610" width="5.59765625" style="466" customWidth="1"/>
    <col min="15611" max="15617" width="9.86328125" style="466" customWidth="1"/>
    <col min="15618" max="15865" width="9.1328125" style="466"/>
    <col min="15866" max="15866" width="5.59765625" style="466" customWidth="1"/>
    <col min="15867" max="15873" width="9.86328125" style="466" customWidth="1"/>
    <col min="15874" max="16121" width="9.1328125" style="466"/>
    <col min="16122" max="16122" width="5.59765625" style="466" customWidth="1"/>
    <col min="16123" max="16129" width="9.86328125" style="466" customWidth="1"/>
    <col min="16130" max="16384" width="9.1328125" style="466"/>
  </cols>
  <sheetData>
    <row r="1" spans="1:5" ht="13.15">
      <c r="A1" s="524" t="str">
        <f>IF(språk=lista[[#Headers],[Svenska]],"Innehåll",IF(språk=lista[[#Headers],[English]],"Contents","FEL"))</f>
        <v>Contents</v>
      </c>
    </row>
    <row r="3" spans="1:5" ht="15.75">
      <c r="A3" s="455" t="str">
        <f>IFERROR(INDEX(lista[],MATCH($A5,lista[ID],0),MATCH(språk,lista[#Headers],0)),"")</f>
        <v>World final energy consumption, by sector, from 1990, TWh</v>
      </c>
      <c r="B3" s="455"/>
      <c r="C3" s="455"/>
      <c r="D3" s="455"/>
    </row>
    <row r="4" spans="1:5" ht="15.75">
      <c r="A4" s="469"/>
      <c r="B4" s="469"/>
      <c r="C4" s="469"/>
      <c r="D4" s="469"/>
    </row>
    <row r="5" spans="1:5" hidden="1">
      <c r="A5" s="457">
        <v>80</v>
      </c>
      <c r="B5" s="458" t="s">
        <v>647</v>
      </c>
      <c r="C5" s="458" t="s">
        <v>648</v>
      </c>
      <c r="D5" s="458" t="s">
        <v>649</v>
      </c>
    </row>
    <row r="6" spans="1:5" ht="26.25">
      <c r="A6" s="142"/>
      <c r="B6" s="143" t="str">
        <f>IFERROR(INDEX(_12.2[],MATCH(språk,_12.2[[id]:[id]],0),MATCH(B$5,_12.2[#Headers],0)),"")</f>
        <v>Industry</v>
      </c>
      <c r="C6" s="143" t="str">
        <f>IFERROR(INDEX(_12.2[],MATCH(språk,_12.2[[id]:[id]],0),MATCH(C$5,_12.2[#Headers],0)),"")</f>
        <v>Transport</v>
      </c>
      <c r="D6" s="143" t="str">
        <f>IFERROR(INDEX(_12.2[],MATCH(språk,_12.2[[id]:[id]],0),MATCH(D$5,_12.2[#Headers],0)),"")</f>
        <v>Residential and services</v>
      </c>
      <c r="E6" s="235" t="str">
        <f>IF(språk=lista[[#Headers],[Svenska]],"Totalt",IF(språk=lista[[#Headers],[English]],"Total","FEL"))</f>
        <v>Total</v>
      </c>
    </row>
    <row r="7" spans="1:5" ht="15.95" customHeight="1">
      <c r="A7" s="802">
        <v>1990</v>
      </c>
      <c r="B7" s="807">
        <v>21018.084899999998</v>
      </c>
      <c r="C7" s="807">
        <v>18326.74008</v>
      </c>
      <c r="D7" s="807">
        <v>28154.183119999998</v>
      </c>
      <c r="E7" s="808">
        <v>67499.008099999992</v>
      </c>
    </row>
    <row r="8" spans="1:5" s="659" customFormat="1" ht="15.95" customHeight="1">
      <c r="A8" s="144">
        <v>1991</v>
      </c>
      <c r="B8" s="688">
        <v>20903.564289999998</v>
      </c>
      <c r="C8" s="688">
        <v>18505.95838</v>
      </c>
      <c r="D8" s="688">
        <v>28695.780589999998</v>
      </c>
      <c r="E8" s="689">
        <v>68105.303260000001</v>
      </c>
    </row>
    <row r="9" spans="1:5" ht="15.95" customHeight="1">
      <c r="A9" s="802">
        <v>1992</v>
      </c>
      <c r="B9" s="807">
        <v>20500.980209999998</v>
      </c>
      <c r="C9" s="807">
        <v>18900.552649999998</v>
      </c>
      <c r="D9" s="807">
        <v>28360.348129999998</v>
      </c>
      <c r="E9" s="808">
        <v>67761.880989999991</v>
      </c>
    </row>
    <row r="10" spans="1:5" ht="15.95" customHeight="1">
      <c r="A10" s="144">
        <v>1993</v>
      </c>
      <c r="B10" s="688">
        <v>20227.75662</v>
      </c>
      <c r="C10" s="688">
        <v>19097.28573</v>
      </c>
      <c r="D10" s="688">
        <v>28968.37616</v>
      </c>
      <c r="E10" s="689">
        <v>68293.418510000003</v>
      </c>
    </row>
    <row r="11" spans="1:5" ht="15.95" customHeight="1">
      <c r="A11" s="802">
        <v>1994</v>
      </c>
      <c r="B11" s="807">
        <v>20186.505010000001</v>
      </c>
      <c r="C11" s="807">
        <v>19475.62126</v>
      </c>
      <c r="D11" s="807">
        <v>28805.625939999998</v>
      </c>
      <c r="E11" s="808">
        <v>68467.752210000006</v>
      </c>
    </row>
    <row r="12" spans="1:5" ht="15.95" customHeight="1">
      <c r="A12" s="144">
        <v>1995</v>
      </c>
      <c r="B12" s="688">
        <v>20818.45595</v>
      </c>
      <c r="C12" s="688">
        <v>19995.2264</v>
      </c>
      <c r="D12" s="688">
        <v>29133.95247</v>
      </c>
      <c r="E12" s="689">
        <v>69947.634820000007</v>
      </c>
    </row>
    <row r="13" spans="1:5" ht="15.95" customHeight="1">
      <c r="A13" s="802">
        <v>1996</v>
      </c>
      <c r="B13" s="807">
        <v>20677.81436</v>
      </c>
      <c r="C13" s="807">
        <v>20780.1351</v>
      </c>
      <c r="D13" s="807">
        <v>29648.754419999997</v>
      </c>
      <c r="E13" s="808">
        <v>71106.703880000001</v>
      </c>
    </row>
    <row r="14" spans="1:5" ht="15.95" customHeight="1">
      <c r="A14" s="144">
        <v>1997</v>
      </c>
      <c r="B14" s="688">
        <v>20859.021389999998</v>
      </c>
      <c r="C14" s="688">
        <v>21090.6561</v>
      </c>
      <c r="D14" s="688">
        <v>29733.746459999998</v>
      </c>
      <c r="E14" s="689">
        <v>71683.423949999997</v>
      </c>
    </row>
    <row r="15" spans="1:5" ht="15.95" customHeight="1">
      <c r="A15" s="802">
        <v>1998</v>
      </c>
      <c r="B15" s="807">
        <v>20854.264719999999</v>
      </c>
      <c r="C15" s="807">
        <v>21583.884399999999</v>
      </c>
      <c r="D15" s="807">
        <v>29507.670889999998</v>
      </c>
      <c r="E15" s="808">
        <v>71945.820009999996</v>
      </c>
    </row>
    <row r="16" spans="1:5" ht="15.95" customHeight="1">
      <c r="A16" s="144">
        <v>1999</v>
      </c>
      <c r="B16" s="688">
        <v>20872.116770000001</v>
      </c>
      <c r="C16" s="688">
        <v>22190.74943</v>
      </c>
      <c r="D16" s="688">
        <v>30179.210349999998</v>
      </c>
      <c r="E16" s="689">
        <v>73242.076549999998</v>
      </c>
    </row>
    <row r="17" spans="1:5" ht="15.95" customHeight="1">
      <c r="A17" s="802">
        <v>2000</v>
      </c>
      <c r="B17" s="807">
        <v>22043.478739999999</v>
      </c>
      <c r="C17" s="807">
        <v>22854.938729999998</v>
      </c>
      <c r="D17" s="807">
        <v>30299.208689999999</v>
      </c>
      <c r="E17" s="808">
        <v>75197.626159999985</v>
      </c>
    </row>
    <row r="18" spans="1:5" ht="15.95" customHeight="1">
      <c r="A18" s="144">
        <v>2001</v>
      </c>
      <c r="B18" s="688">
        <v>21751.379659999999</v>
      </c>
      <c r="C18" s="688">
        <v>22982.973399999999</v>
      </c>
      <c r="D18" s="688">
        <v>30705.328289999998</v>
      </c>
      <c r="E18" s="689">
        <v>75439.681349999999</v>
      </c>
    </row>
    <row r="19" spans="1:5" ht="15.95" customHeight="1">
      <c r="A19" s="802">
        <v>2002</v>
      </c>
      <c r="B19" s="807">
        <v>21715.931420000001</v>
      </c>
      <c r="C19" s="807">
        <v>23531.455829999999</v>
      </c>
      <c r="D19" s="807">
        <v>31156.060569999998</v>
      </c>
      <c r="E19" s="808">
        <v>76403.447820000001</v>
      </c>
    </row>
    <row r="20" spans="1:5" ht="15.95" customHeight="1">
      <c r="A20" s="144">
        <v>2003</v>
      </c>
      <c r="B20" s="688">
        <v>22555.908169999999</v>
      </c>
      <c r="C20" s="688">
        <v>24069.610819999998</v>
      </c>
      <c r="D20" s="688">
        <v>32066.85239</v>
      </c>
      <c r="E20" s="689">
        <v>78692.371379999997</v>
      </c>
    </row>
    <row r="21" spans="1:5" ht="15.95" customHeight="1">
      <c r="A21" s="802">
        <v>2004</v>
      </c>
      <c r="B21" s="807">
        <v>23959.718949999999</v>
      </c>
      <c r="C21" s="807">
        <v>25187.649239999999</v>
      </c>
      <c r="D21" s="807">
        <v>32755.16231</v>
      </c>
      <c r="E21" s="808">
        <v>81902.530499999993</v>
      </c>
    </row>
    <row r="22" spans="1:5" ht="15.95" customHeight="1">
      <c r="A22" s="144">
        <v>2005</v>
      </c>
      <c r="B22" s="688">
        <v>24746.360519999998</v>
      </c>
      <c r="C22" s="688">
        <v>25812.587289999999</v>
      </c>
      <c r="D22" s="688">
        <v>33328.102630000001</v>
      </c>
      <c r="E22" s="689">
        <v>83887.050440000006</v>
      </c>
    </row>
    <row r="23" spans="1:5" ht="15.95" customHeight="1">
      <c r="A23" s="802">
        <v>2006</v>
      </c>
      <c r="B23" s="807">
        <v>25883.948969999998</v>
      </c>
      <c r="C23" s="807">
        <v>26393.99425</v>
      </c>
      <c r="D23" s="807">
        <v>33643.938539999996</v>
      </c>
      <c r="E23" s="808">
        <v>85921.881759999989</v>
      </c>
    </row>
    <row r="24" spans="1:5" ht="15.95" customHeight="1">
      <c r="A24" s="144">
        <v>2007</v>
      </c>
      <c r="B24" s="688">
        <v>26756.396679999998</v>
      </c>
      <c r="C24" s="688">
        <v>27299.878209999999</v>
      </c>
      <c r="D24" s="688">
        <v>34190.874179999999</v>
      </c>
      <c r="E24" s="689">
        <v>88247.149069999985</v>
      </c>
    </row>
    <row r="25" spans="1:5" ht="15.95" customHeight="1">
      <c r="A25" s="802">
        <v>2008</v>
      </c>
      <c r="B25" s="807">
        <v>27029.352780000001</v>
      </c>
      <c r="C25" s="807">
        <v>27424.935600000001</v>
      </c>
      <c r="D25" s="807">
        <v>34764.616970000003</v>
      </c>
      <c r="E25" s="808">
        <v>89218.905350000001</v>
      </c>
    </row>
    <row r="26" spans="1:5" ht="15.95" customHeight="1">
      <c r="A26" s="144">
        <v>2009</v>
      </c>
      <c r="B26" s="688">
        <v>26070.61047</v>
      </c>
      <c r="C26" s="688">
        <v>27024.46818</v>
      </c>
      <c r="D26" s="688">
        <v>34823.895080000002</v>
      </c>
      <c r="E26" s="689">
        <v>87918.973729999998</v>
      </c>
    </row>
    <row r="27" spans="1:5" ht="15.95" customHeight="1">
      <c r="A27" s="802">
        <v>2010</v>
      </c>
      <c r="B27" s="807">
        <v>28144.646519999998</v>
      </c>
      <c r="C27" s="807">
        <v>28374.280869999999</v>
      </c>
      <c r="D27" s="807">
        <v>35875.979769999998</v>
      </c>
      <c r="E27" s="808">
        <v>92394.907159999988</v>
      </c>
    </row>
    <row r="28" spans="1:5" ht="15.95" customHeight="1">
      <c r="A28" s="144">
        <v>2011</v>
      </c>
      <c r="B28" s="688">
        <v>30713.201799999999</v>
      </c>
      <c r="C28" s="688">
        <v>28888.629249999998</v>
      </c>
      <c r="D28" s="688">
        <v>36098.78731</v>
      </c>
      <c r="E28" s="689">
        <v>95700.618359999993</v>
      </c>
    </row>
    <row r="29" spans="1:5" ht="15.95" customHeight="1">
      <c r="A29" s="802">
        <v>2012</v>
      </c>
      <c r="B29" s="807">
        <v>30668.077399999998</v>
      </c>
      <c r="C29" s="807">
        <v>29218.93288</v>
      </c>
      <c r="D29" s="807">
        <v>36650.130720000001</v>
      </c>
      <c r="E29" s="808">
        <v>96537.140999999989</v>
      </c>
    </row>
    <row r="30" spans="1:5" ht="15.95" customHeight="1">
      <c r="A30" s="144">
        <v>2013</v>
      </c>
      <c r="B30" s="688">
        <v>31429.330679999999</v>
      </c>
      <c r="C30" s="688">
        <v>29813.691080000001</v>
      </c>
      <c r="D30" s="688">
        <v>37382.820719999996</v>
      </c>
      <c r="E30" s="689">
        <v>98625.842479999992</v>
      </c>
    </row>
    <row r="31" spans="1:5" ht="15.95" customHeight="1">
      <c r="A31" s="802">
        <v>2014</v>
      </c>
      <c r="B31" s="807">
        <v>31996.060579999998</v>
      </c>
      <c r="C31" s="807">
        <v>30552.21934</v>
      </c>
      <c r="D31" s="807">
        <v>37436.783920000002</v>
      </c>
      <c r="E31" s="808">
        <v>99985.063839999988</v>
      </c>
    </row>
    <row r="32" spans="1:5" ht="15.95" customHeight="1"/>
    <row r="33" spans="1:5" ht="15">
      <c r="A33" s="181" t="s">
        <v>421</v>
      </c>
      <c r="B33" s="180"/>
      <c r="C33" s="180"/>
      <c r="D33" s="180"/>
      <c r="E33" s="17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tabColor theme="0"/>
  </sheetPr>
  <dimension ref="A1:L33"/>
  <sheetViews>
    <sheetView zoomScaleNormal="100" workbookViewId="0">
      <pane ySplit="6" topLeftCell="A7" activePane="bottomLeft" state="frozen"/>
      <selection pane="bottomLeft" activeCell="C1" sqref="C1"/>
    </sheetView>
  </sheetViews>
  <sheetFormatPr defaultRowHeight="12.75"/>
  <cols>
    <col min="1" max="1" width="13.73046875" style="457" customWidth="1"/>
    <col min="2" max="2" width="11.3984375" style="458" customWidth="1"/>
    <col min="3" max="3" width="9.86328125" style="458" customWidth="1"/>
    <col min="4" max="4" width="9" style="458" customWidth="1"/>
    <col min="5" max="5" width="8.73046875" style="458" customWidth="1"/>
    <col min="6" max="6" width="7" style="466" customWidth="1"/>
    <col min="7" max="254" width="9.1328125" style="466"/>
    <col min="255" max="255" width="5.59765625" style="466" customWidth="1"/>
    <col min="256" max="262" width="9.86328125" style="466" customWidth="1"/>
    <col min="263" max="510" width="9.1328125" style="466"/>
    <col min="511" max="511" width="5.59765625" style="466" customWidth="1"/>
    <col min="512" max="518" width="9.86328125" style="466" customWidth="1"/>
    <col min="519" max="766" width="9.1328125" style="466"/>
    <col min="767" max="767" width="5.59765625" style="466" customWidth="1"/>
    <col min="768" max="774" width="9.86328125" style="466" customWidth="1"/>
    <col min="775" max="1022" width="9.1328125" style="466"/>
    <col min="1023" max="1023" width="5.59765625" style="466" customWidth="1"/>
    <col min="1024" max="1030" width="9.86328125" style="466" customWidth="1"/>
    <col min="1031" max="1278" width="9.1328125" style="466"/>
    <col min="1279" max="1279" width="5.59765625" style="466" customWidth="1"/>
    <col min="1280" max="1286" width="9.86328125" style="466" customWidth="1"/>
    <col min="1287" max="1534" width="9.1328125" style="466"/>
    <col min="1535" max="1535" width="5.59765625" style="466" customWidth="1"/>
    <col min="1536" max="1542" width="9.86328125" style="466" customWidth="1"/>
    <col min="1543" max="1790" width="9.1328125" style="466"/>
    <col min="1791" max="1791" width="5.59765625" style="466" customWidth="1"/>
    <col min="1792" max="1798" width="9.86328125" style="466" customWidth="1"/>
    <col min="1799" max="2046" width="9.1328125" style="466"/>
    <col min="2047" max="2047" width="5.59765625" style="466" customWidth="1"/>
    <col min="2048" max="2054" width="9.86328125" style="466" customWidth="1"/>
    <col min="2055" max="2302" width="9.1328125" style="466"/>
    <col min="2303" max="2303" width="5.59765625" style="466" customWidth="1"/>
    <col min="2304" max="2310" width="9.86328125" style="466" customWidth="1"/>
    <col min="2311" max="2558" width="9.1328125" style="466"/>
    <col min="2559" max="2559" width="5.59765625" style="466" customWidth="1"/>
    <col min="2560" max="2566" width="9.86328125" style="466" customWidth="1"/>
    <col min="2567" max="2814" width="9.1328125" style="466"/>
    <col min="2815" max="2815" width="5.59765625" style="466" customWidth="1"/>
    <col min="2816" max="2822" width="9.86328125" style="466" customWidth="1"/>
    <col min="2823" max="3070" width="9.1328125" style="466"/>
    <col min="3071" max="3071" width="5.59765625" style="466" customWidth="1"/>
    <col min="3072" max="3078" width="9.86328125" style="466" customWidth="1"/>
    <col min="3079" max="3326" width="9.1328125" style="466"/>
    <col min="3327" max="3327" width="5.59765625" style="466" customWidth="1"/>
    <col min="3328" max="3334" width="9.86328125" style="466" customWidth="1"/>
    <col min="3335" max="3582" width="9.1328125" style="466"/>
    <col min="3583" max="3583" width="5.59765625" style="466" customWidth="1"/>
    <col min="3584" max="3590" width="9.86328125" style="466" customWidth="1"/>
    <col min="3591" max="3838" width="9.1328125" style="466"/>
    <col min="3839" max="3839" width="5.59765625" style="466" customWidth="1"/>
    <col min="3840" max="3846" width="9.86328125" style="466" customWidth="1"/>
    <col min="3847" max="4094" width="9.1328125" style="466"/>
    <col min="4095" max="4095" width="5.59765625" style="466" customWidth="1"/>
    <col min="4096" max="4102" width="9.86328125" style="466" customWidth="1"/>
    <col min="4103" max="4350" width="9.1328125" style="466"/>
    <col min="4351" max="4351" width="5.59765625" style="466" customWidth="1"/>
    <col min="4352" max="4358" width="9.86328125" style="466" customWidth="1"/>
    <col min="4359" max="4606" width="9.1328125" style="466"/>
    <col min="4607" max="4607" width="5.59765625" style="466" customWidth="1"/>
    <col min="4608" max="4614" width="9.86328125" style="466" customWidth="1"/>
    <col min="4615" max="4862" width="9.1328125" style="466"/>
    <col min="4863" max="4863" width="5.59765625" style="466" customWidth="1"/>
    <col min="4864" max="4870" width="9.86328125" style="466" customWidth="1"/>
    <col min="4871" max="5118" width="9.1328125" style="466"/>
    <col min="5119" max="5119" width="5.59765625" style="466" customWidth="1"/>
    <col min="5120" max="5126" width="9.86328125" style="466" customWidth="1"/>
    <col min="5127" max="5374" width="9.1328125" style="466"/>
    <col min="5375" max="5375" width="5.59765625" style="466" customWidth="1"/>
    <col min="5376" max="5382" width="9.86328125" style="466" customWidth="1"/>
    <col min="5383" max="5630" width="9.1328125" style="466"/>
    <col min="5631" max="5631" width="5.59765625" style="466" customWidth="1"/>
    <col min="5632" max="5638" width="9.86328125" style="466" customWidth="1"/>
    <col min="5639" max="5886" width="9.1328125" style="466"/>
    <col min="5887" max="5887" width="5.59765625" style="466" customWidth="1"/>
    <col min="5888" max="5894" width="9.86328125" style="466" customWidth="1"/>
    <col min="5895" max="6142" width="9.1328125" style="466"/>
    <col min="6143" max="6143" width="5.59765625" style="466" customWidth="1"/>
    <col min="6144" max="6150" width="9.86328125" style="466" customWidth="1"/>
    <col min="6151" max="6398" width="9.1328125" style="466"/>
    <col min="6399" max="6399" width="5.59765625" style="466" customWidth="1"/>
    <col min="6400" max="6406" width="9.86328125" style="466" customWidth="1"/>
    <col min="6407" max="6654" width="9.1328125" style="466"/>
    <col min="6655" max="6655" width="5.59765625" style="466" customWidth="1"/>
    <col min="6656" max="6662" width="9.86328125" style="466" customWidth="1"/>
    <col min="6663" max="6910" width="9.1328125" style="466"/>
    <col min="6911" max="6911" width="5.59765625" style="466" customWidth="1"/>
    <col min="6912" max="6918" width="9.86328125" style="466" customWidth="1"/>
    <col min="6919" max="7166" width="9.1328125" style="466"/>
    <col min="7167" max="7167" width="5.59765625" style="466" customWidth="1"/>
    <col min="7168" max="7174" width="9.86328125" style="466" customWidth="1"/>
    <col min="7175" max="7422" width="9.1328125" style="466"/>
    <col min="7423" max="7423" width="5.59765625" style="466" customWidth="1"/>
    <col min="7424" max="7430" width="9.86328125" style="466" customWidth="1"/>
    <col min="7431" max="7678" width="9.1328125" style="466"/>
    <col min="7679" max="7679" width="5.59765625" style="466" customWidth="1"/>
    <col min="7680" max="7686" width="9.86328125" style="466" customWidth="1"/>
    <col min="7687" max="7934" width="9.1328125" style="466"/>
    <col min="7935" max="7935" width="5.59765625" style="466" customWidth="1"/>
    <col min="7936" max="7942" width="9.86328125" style="466" customWidth="1"/>
    <col min="7943" max="8190" width="9.1328125" style="466"/>
    <col min="8191" max="8191" width="5.59765625" style="466" customWidth="1"/>
    <col min="8192" max="8198" width="9.86328125" style="466" customWidth="1"/>
    <col min="8199" max="8446" width="9.1328125" style="466"/>
    <col min="8447" max="8447" width="5.59765625" style="466" customWidth="1"/>
    <col min="8448" max="8454" width="9.86328125" style="466" customWidth="1"/>
    <col min="8455" max="8702" width="9.1328125" style="466"/>
    <col min="8703" max="8703" width="5.59765625" style="466" customWidth="1"/>
    <col min="8704" max="8710" width="9.86328125" style="466" customWidth="1"/>
    <col min="8711" max="8958" width="9.1328125" style="466"/>
    <col min="8959" max="8959" width="5.59765625" style="466" customWidth="1"/>
    <col min="8960" max="8966" width="9.86328125" style="466" customWidth="1"/>
    <col min="8967" max="9214" width="9.1328125" style="466"/>
    <col min="9215" max="9215" width="5.59765625" style="466" customWidth="1"/>
    <col min="9216" max="9222" width="9.86328125" style="466" customWidth="1"/>
    <col min="9223" max="9470" width="9.1328125" style="466"/>
    <col min="9471" max="9471" width="5.59765625" style="466" customWidth="1"/>
    <col min="9472" max="9478" width="9.86328125" style="466" customWidth="1"/>
    <col min="9479" max="9726" width="9.1328125" style="466"/>
    <col min="9727" max="9727" width="5.59765625" style="466" customWidth="1"/>
    <col min="9728" max="9734" width="9.86328125" style="466" customWidth="1"/>
    <col min="9735" max="9982" width="9.1328125" style="466"/>
    <col min="9983" max="9983" width="5.59765625" style="466" customWidth="1"/>
    <col min="9984" max="9990" width="9.86328125" style="466" customWidth="1"/>
    <col min="9991" max="10238" width="9.1328125" style="466"/>
    <col min="10239" max="10239" width="5.59765625" style="466" customWidth="1"/>
    <col min="10240" max="10246" width="9.86328125" style="466" customWidth="1"/>
    <col min="10247" max="10494" width="9.1328125" style="466"/>
    <col min="10495" max="10495" width="5.59765625" style="466" customWidth="1"/>
    <col min="10496" max="10502" width="9.86328125" style="466" customWidth="1"/>
    <col min="10503" max="10750" width="9.1328125" style="466"/>
    <col min="10751" max="10751" width="5.59765625" style="466" customWidth="1"/>
    <col min="10752" max="10758" width="9.86328125" style="466" customWidth="1"/>
    <col min="10759" max="11006" width="9.1328125" style="466"/>
    <col min="11007" max="11007" width="5.59765625" style="466" customWidth="1"/>
    <col min="11008" max="11014" width="9.86328125" style="466" customWidth="1"/>
    <col min="11015" max="11262" width="9.1328125" style="466"/>
    <col min="11263" max="11263" width="5.59765625" style="466" customWidth="1"/>
    <col min="11264" max="11270" width="9.86328125" style="466" customWidth="1"/>
    <col min="11271" max="11518" width="9.1328125" style="466"/>
    <col min="11519" max="11519" width="5.59765625" style="466" customWidth="1"/>
    <col min="11520" max="11526" width="9.86328125" style="466" customWidth="1"/>
    <col min="11527" max="11774" width="9.1328125" style="466"/>
    <col min="11775" max="11775" width="5.59765625" style="466" customWidth="1"/>
    <col min="11776" max="11782" width="9.86328125" style="466" customWidth="1"/>
    <col min="11783" max="12030" width="9.1328125" style="466"/>
    <col min="12031" max="12031" width="5.59765625" style="466" customWidth="1"/>
    <col min="12032" max="12038" width="9.86328125" style="466" customWidth="1"/>
    <col min="12039" max="12286" width="9.1328125" style="466"/>
    <col min="12287" max="12287" width="5.59765625" style="466" customWidth="1"/>
    <col min="12288" max="12294" width="9.86328125" style="466" customWidth="1"/>
    <col min="12295" max="12542" width="9.1328125" style="466"/>
    <col min="12543" max="12543" width="5.59765625" style="466" customWidth="1"/>
    <col min="12544" max="12550" width="9.86328125" style="466" customWidth="1"/>
    <col min="12551" max="12798" width="9.1328125" style="466"/>
    <col min="12799" max="12799" width="5.59765625" style="466" customWidth="1"/>
    <col min="12800" max="12806" width="9.86328125" style="466" customWidth="1"/>
    <col min="12807" max="13054" width="9.1328125" style="466"/>
    <col min="13055" max="13055" width="5.59765625" style="466" customWidth="1"/>
    <col min="13056" max="13062" width="9.86328125" style="466" customWidth="1"/>
    <col min="13063" max="13310" width="9.1328125" style="466"/>
    <col min="13311" max="13311" width="5.59765625" style="466" customWidth="1"/>
    <col min="13312" max="13318" width="9.86328125" style="466" customWidth="1"/>
    <col min="13319" max="13566" width="9.1328125" style="466"/>
    <col min="13567" max="13567" width="5.59765625" style="466" customWidth="1"/>
    <col min="13568" max="13574" width="9.86328125" style="466" customWidth="1"/>
    <col min="13575" max="13822" width="9.1328125" style="466"/>
    <col min="13823" max="13823" width="5.59765625" style="466" customWidth="1"/>
    <col min="13824" max="13830" width="9.86328125" style="466" customWidth="1"/>
    <col min="13831" max="14078" width="9.1328125" style="466"/>
    <col min="14079" max="14079" width="5.59765625" style="466" customWidth="1"/>
    <col min="14080" max="14086" width="9.86328125" style="466" customWidth="1"/>
    <col min="14087" max="14334" width="9.1328125" style="466"/>
    <col min="14335" max="14335" width="5.59765625" style="466" customWidth="1"/>
    <col min="14336" max="14342" width="9.86328125" style="466" customWidth="1"/>
    <col min="14343" max="14590" width="9.1328125" style="466"/>
    <col min="14591" max="14591" width="5.59765625" style="466" customWidth="1"/>
    <col min="14592" max="14598" width="9.86328125" style="466" customWidth="1"/>
    <col min="14599" max="14846" width="9.1328125" style="466"/>
    <col min="14847" max="14847" width="5.59765625" style="466" customWidth="1"/>
    <col min="14848" max="14854" width="9.86328125" style="466" customWidth="1"/>
    <col min="14855" max="15102" width="9.1328125" style="466"/>
    <col min="15103" max="15103" width="5.59765625" style="466" customWidth="1"/>
    <col min="15104" max="15110" width="9.86328125" style="466" customWidth="1"/>
    <col min="15111" max="15358" width="9.1328125" style="466"/>
    <col min="15359" max="15359" width="5.59765625" style="466" customWidth="1"/>
    <col min="15360" max="15366" width="9.86328125" style="466" customWidth="1"/>
    <col min="15367" max="15614" width="9.1328125" style="466"/>
    <col min="15615" max="15615" width="5.59765625" style="466" customWidth="1"/>
    <col min="15616" max="15622" width="9.86328125" style="466" customWidth="1"/>
    <col min="15623" max="15870" width="9.1328125" style="466"/>
    <col min="15871" max="15871" width="5.59765625" style="466" customWidth="1"/>
    <col min="15872" max="15878" width="9.86328125" style="466" customWidth="1"/>
    <col min="15879" max="16126" width="9.1328125" style="466"/>
    <col min="16127" max="16127" width="5.59765625" style="466" customWidth="1"/>
    <col min="16128" max="16134" width="9.86328125" style="466" customWidth="1"/>
    <col min="16135" max="16384" width="9.1328125" style="466"/>
  </cols>
  <sheetData>
    <row r="1" spans="1:11" ht="13.15">
      <c r="A1" s="524" t="str">
        <f>IF(språk=lista[[#Headers],[Svenska]],"Innehåll",IF(språk=lista[[#Headers],[English]],"Contents","FEL"))</f>
        <v>Contents</v>
      </c>
    </row>
    <row r="3" spans="1:11" ht="15.75">
      <c r="A3" s="455" t="str">
        <f>IFERROR(INDEX(lista[],MATCH($A5,lista[ID],0),MATCH(språk,lista[#Headers],0)),"")</f>
        <v>World supply of renewable energy, by region, from 1990, TWh</v>
      </c>
      <c r="B3" s="455"/>
      <c r="C3" s="455"/>
      <c r="D3" s="455"/>
      <c r="E3" s="455"/>
    </row>
    <row r="4" spans="1:11" ht="15.75">
      <c r="A4" s="469"/>
      <c r="B4" s="469"/>
      <c r="C4" s="469"/>
      <c r="D4" s="469"/>
      <c r="E4" s="469"/>
    </row>
    <row r="5" spans="1:11" hidden="1">
      <c r="A5" s="457">
        <v>81</v>
      </c>
      <c r="B5" s="458" t="s">
        <v>647</v>
      </c>
      <c r="C5" s="458" t="s">
        <v>648</v>
      </c>
      <c r="D5" s="458" t="s">
        <v>649</v>
      </c>
      <c r="E5" s="458" t="s">
        <v>650</v>
      </c>
      <c r="F5" s="466" t="s">
        <v>651</v>
      </c>
      <c r="G5" s="466" t="s">
        <v>652</v>
      </c>
      <c r="H5" s="466" t="s">
        <v>653</v>
      </c>
      <c r="I5" s="466" t="s">
        <v>654</v>
      </c>
      <c r="J5" s="466" t="s">
        <v>655</v>
      </c>
    </row>
    <row r="6" spans="1:11" ht="39.4">
      <c r="A6" s="142"/>
      <c r="B6" s="143" t="str">
        <f>IFERROR(INDEX(_12.3[],MATCH(språk,_12.3[[id]:[id]],0),MATCH(B$5,_12.3[#Headers],0)),"")</f>
        <v>North America</v>
      </c>
      <c r="C6" s="143" t="str">
        <f>IFERROR(INDEX(_12.3[],MATCH(språk,_12.3[[id]:[id]],0),MATCH(C$5,_12.3[#Headers],0)),"")</f>
        <v>Central and South America</v>
      </c>
      <c r="D6" s="143" t="str">
        <f>IFERROR(INDEX(_12.3[],MATCH(språk,_12.3[[id]:[id]],0),MATCH(D$5,_12.3[#Headers],0)),"")</f>
        <v>China</v>
      </c>
      <c r="E6" s="143" t="str">
        <f>IFERROR(INDEX(_12.3[],MATCH(språk,_12.3[[id]:[id]],0),MATCH(E$5,_12.3[#Headers],0)),"")</f>
        <v>Russia</v>
      </c>
      <c r="F6" s="143" t="str">
        <f>IFERROR(INDEX(_12.3[],MATCH(språk,_12.3[[id]:[id]],0),MATCH(F$5,_12.3[#Headers],0)),"")</f>
        <v>Middle East</v>
      </c>
      <c r="G6" s="143" t="str">
        <f>IFERROR(INDEX(_12.3[],MATCH(språk,_12.3[[id]:[id]],0),MATCH(G$5,_12.3[#Headers],0)),"")</f>
        <v>Asia, other</v>
      </c>
      <c r="H6" s="143" t="str">
        <f>IFERROR(INDEX(_12.3[],MATCH(språk,_12.3[[id]:[id]],0),MATCH(H$5,_12.3[#Headers],0)),"")</f>
        <v>EU-28</v>
      </c>
      <c r="I6" s="143" t="str">
        <f>IFERROR(INDEX(_12.3[],MATCH(språk,_12.3[[id]:[id]],0),MATCH(I$5,_12.3[#Headers],0)),"")</f>
        <v>Africa</v>
      </c>
      <c r="J6" s="143" t="str">
        <f>IFERROR(INDEX(_12.3[],MATCH(språk,_12.3[[id]:[id]],0),MATCH(J$5,_12.3[#Headers],0)),"")</f>
        <v>Other</v>
      </c>
      <c r="K6" s="235" t="str">
        <f>IF(språk=lista[[#Headers],[Svenska]],"Totalt",IF(språk=lista[[#Headers],[English]],"Total","FEL"))</f>
        <v>Total</v>
      </c>
    </row>
    <row r="7" spans="1:11" ht="15.95" customHeight="1">
      <c r="A7" s="802">
        <v>1990</v>
      </c>
      <c r="B7" s="807">
        <v>1731.0208299999999</v>
      </c>
      <c r="C7" s="807">
        <v>1343.12544</v>
      </c>
      <c r="D7" s="807">
        <v>2458.4889600000001</v>
      </c>
      <c r="E7" s="807">
        <v>307.88099</v>
      </c>
      <c r="F7" s="807">
        <v>21.945809999999998</v>
      </c>
      <c r="G7" s="807">
        <v>3570.20066</v>
      </c>
      <c r="H7" s="807">
        <v>873.40136999999993</v>
      </c>
      <c r="I7" s="807">
        <v>2314.84683</v>
      </c>
      <c r="J7" s="807">
        <v>476.62065999999999</v>
      </c>
      <c r="K7" s="808">
        <v>13097.53155</v>
      </c>
    </row>
    <row r="8" spans="1:11" ht="15.95" customHeight="1">
      <c r="A8" s="144">
        <v>1991</v>
      </c>
      <c r="B8" s="688">
        <v>1804.2200499999999</v>
      </c>
      <c r="C8" s="688">
        <v>1357.8025</v>
      </c>
      <c r="D8" s="688">
        <v>2479.7834899999998</v>
      </c>
      <c r="E8" s="688">
        <v>301.54264000000001</v>
      </c>
      <c r="F8" s="688">
        <v>21.643429999999999</v>
      </c>
      <c r="G8" s="688">
        <v>3621.7331899999999</v>
      </c>
      <c r="H8" s="688">
        <v>904.98844999999994</v>
      </c>
      <c r="I8" s="688">
        <v>2378.50945</v>
      </c>
      <c r="J8" s="688">
        <v>474.14346999999998</v>
      </c>
      <c r="K8" s="689">
        <v>13344.366669999999</v>
      </c>
    </row>
    <row r="9" spans="1:11" ht="15.95" customHeight="1">
      <c r="A9" s="802">
        <v>1992</v>
      </c>
      <c r="B9" s="807">
        <v>1891.04963</v>
      </c>
      <c r="C9" s="807">
        <v>1360.4192499999999</v>
      </c>
      <c r="D9" s="807">
        <v>2500.86868</v>
      </c>
      <c r="E9" s="807">
        <v>316.94076000000001</v>
      </c>
      <c r="F9" s="807">
        <v>24.946349999999999</v>
      </c>
      <c r="G9" s="807">
        <v>3657.89086</v>
      </c>
      <c r="H9" s="807">
        <v>934.13323000000003</v>
      </c>
      <c r="I9" s="807">
        <v>2435.3336300000001</v>
      </c>
      <c r="J9" s="807">
        <v>469.56124999999997</v>
      </c>
      <c r="K9" s="808">
        <v>13591.14364</v>
      </c>
    </row>
    <row r="10" spans="1:11" ht="15.95" customHeight="1">
      <c r="A10" s="144">
        <v>1993</v>
      </c>
      <c r="B10" s="688">
        <v>1855.20597</v>
      </c>
      <c r="C10" s="688">
        <v>1364.0361800000001</v>
      </c>
      <c r="D10" s="688">
        <v>2533.1302999999998</v>
      </c>
      <c r="E10" s="688">
        <v>311.34672999999998</v>
      </c>
      <c r="F10" s="688">
        <v>25.4697</v>
      </c>
      <c r="G10" s="688">
        <v>3680.5228400000001</v>
      </c>
      <c r="H10" s="688">
        <v>986.43333999999993</v>
      </c>
      <c r="I10" s="688">
        <v>2492.9835399999997</v>
      </c>
      <c r="J10" s="688">
        <v>498.96188999999998</v>
      </c>
      <c r="K10" s="689">
        <v>13748.090489999999</v>
      </c>
    </row>
    <row r="11" spans="1:11" ht="15.95" customHeight="1">
      <c r="A11" s="802">
        <v>1994</v>
      </c>
      <c r="B11" s="807">
        <v>1861.0791199999999</v>
      </c>
      <c r="C11" s="807">
        <v>1429.31537</v>
      </c>
      <c r="D11" s="807">
        <v>2554.8202499999998</v>
      </c>
      <c r="E11" s="807">
        <v>276.03805</v>
      </c>
      <c r="F11" s="807">
        <v>23.643789999999999</v>
      </c>
      <c r="G11" s="807">
        <v>3702.0383400000001</v>
      </c>
      <c r="H11" s="807">
        <v>1004.45984</v>
      </c>
      <c r="I11" s="807">
        <v>2555.3552300000001</v>
      </c>
      <c r="J11" s="807">
        <v>495.98460999999998</v>
      </c>
      <c r="K11" s="808">
        <v>13902.7346</v>
      </c>
    </row>
    <row r="12" spans="1:11" ht="15.95" customHeight="1">
      <c r="A12" s="144">
        <v>1995</v>
      </c>
      <c r="B12" s="688">
        <v>1929.73101</v>
      </c>
      <c r="C12" s="688">
        <v>1427.08241</v>
      </c>
      <c r="D12" s="688">
        <v>2587.5935899999999</v>
      </c>
      <c r="E12" s="688">
        <v>275.00297999999998</v>
      </c>
      <c r="F12" s="688">
        <v>23.50423</v>
      </c>
      <c r="G12" s="688">
        <v>3794.7875899999999</v>
      </c>
      <c r="H12" s="688">
        <v>1037.5006699999999</v>
      </c>
      <c r="I12" s="688">
        <v>2637.3583599999997</v>
      </c>
      <c r="J12" s="688">
        <v>511.44087999999999</v>
      </c>
      <c r="K12" s="689">
        <v>14224.001719999998</v>
      </c>
    </row>
    <row r="13" spans="1:11" ht="15.95" customHeight="1">
      <c r="A13" s="802">
        <v>1996</v>
      </c>
      <c r="B13" s="807">
        <v>2017.39795</v>
      </c>
      <c r="C13" s="807">
        <v>1457.2738899999999</v>
      </c>
      <c r="D13" s="807">
        <v>2582.6275799999999</v>
      </c>
      <c r="E13" s="807">
        <v>234.27472</v>
      </c>
      <c r="F13" s="807">
        <v>23.946169999999999</v>
      </c>
      <c r="G13" s="807">
        <v>3840.6679399999998</v>
      </c>
      <c r="H13" s="807">
        <v>1082.31106</v>
      </c>
      <c r="I13" s="807">
        <v>2706.44056</v>
      </c>
      <c r="J13" s="807">
        <v>505.10253</v>
      </c>
      <c r="K13" s="808">
        <v>14450.042399999998</v>
      </c>
    </row>
    <row r="14" spans="1:11" ht="15.95" customHeight="1">
      <c r="A14" s="144">
        <v>1997</v>
      </c>
      <c r="B14" s="688">
        <v>1964.29537</v>
      </c>
      <c r="C14" s="688">
        <v>1483.5228</v>
      </c>
      <c r="D14" s="688">
        <v>2589.5358000000001</v>
      </c>
      <c r="E14" s="688">
        <v>232.84422999999998</v>
      </c>
      <c r="F14" s="688">
        <v>23.643789999999999</v>
      </c>
      <c r="G14" s="688">
        <v>3900.79504</v>
      </c>
      <c r="H14" s="688">
        <v>1124.1325400000001</v>
      </c>
      <c r="I14" s="688">
        <v>2778.79079</v>
      </c>
      <c r="J14" s="688">
        <v>516.29058999999995</v>
      </c>
      <c r="K14" s="689">
        <v>14613.85095</v>
      </c>
    </row>
    <row r="15" spans="1:11" ht="15.95" customHeight="1">
      <c r="A15" s="802">
        <v>1998</v>
      </c>
      <c r="B15" s="807">
        <v>1932.7664399999999</v>
      </c>
      <c r="C15" s="807">
        <v>1485.9069500000001</v>
      </c>
      <c r="D15" s="807">
        <v>2599.1654399999998</v>
      </c>
      <c r="E15" s="807">
        <v>226.35469000000001</v>
      </c>
      <c r="F15" s="807">
        <v>23.585639999999998</v>
      </c>
      <c r="G15" s="807">
        <v>3958.2356099999997</v>
      </c>
      <c r="H15" s="807">
        <v>1152.4515899999999</v>
      </c>
      <c r="I15" s="807">
        <v>2852.15283</v>
      </c>
      <c r="J15" s="807">
        <v>535.92202999999995</v>
      </c>
      <c r="K15" s="808">
        <v>14766.541220000001</v>
      </c>
    </row>
    <row r="16" spans="1:11" ht="15.95" customHeight="1">
      <c r="A16" s="144">
        <v>1999</v>
      </c>
      <c r="B16" s="688">
        <v>1960.4691</v>
      </c>
      <c r="C16" s="688">
        <v>1509.78334</v>
      </c>
      <c r="D16" s="688">
        <v>2596.0486000000001</v>
      </c>
      <c r="E16" s="688">
        <v>248.24234999999999</v>
      </c>
      <c r="F16" s="688">
        <v>20.910740000000001</v>
      </c>
      <c r="G16" s="688">
        <v>4032.66761</v>
      </c>
      <c r="H16" s="688">
        <v>1154.66129</v>
      </c>
      <c r="I16" s="688">
        <v>2925.2473799999998</v>
      </c>
      <c r="J16" s="688">
        <v>549.27327000000002</v>
      </c>
      <c r="K16" s="689">
        <v>14997.303679999999</v>
      </c>
    </row>
    <row r="17" spans="1:11" ht="15.95" customHeight="1">
      <c r="A17" s="802">
        <v>2000</v>
      </c>
      <c r="B17" s="807">
        <v>1972.75038</v>
      </c>
      <c r="C17" s="807">
        <v>1501.6539700000001</v>
      </c>
      <c r="D17" s="807">
        <v>2613.1446999999998</v>
      </c>
      <c r="E17" s="807">
        <v>244.90454</v>
      </c>
      <c r="F17" s="807">
        <v>20.782809999999998</v>
      </c>
      <c r="G17" s="807">
        <v>4146.7230199999995</v>
      </c>
      <c r="H17" s="807">
        <v>1204.2864999999999</v>
      </c>
      <c r="I17" s="807">
        <v>2965.5337</v>
      </c>
      <c r="J17" s="807">
        <v>567.02064999999993</v>
      </c>
      <c r="K17" s="808">
        <v>15236.80027</v>
      </c>
    </row>
    <row r="18" spans="1:11" ht="15.95" customHeight="1">
      <c r="A18" s="144">
        <v>2001</v>
      </c>
      <c r="B18" s="688">
        <v>1762.8986600000001</v>
      </c>
      <c r="C18" s="688">
        <v>1486.3023699999999</v>
      </c>
      <c r="D18" s="688">
        <v>2669.4339</v>
      </c>
      <c r="E18" s="688">
        <v>254.53417999999999</v>
      </c>
      <c r="F18" s="688">
        <v>22.608719999999998</v>
      </c>
      <c r="G18" s="688">
        <v>4181.6479099999997</v>
      </c>
      <c r="H18" s="688">
        <v>1251.44615</v>
      </c>
      <c r="I18" s="688">
        <v>3057.8061199999997</v>
      </c>
      <c r="J18" s="688">
        <v>536.64309000000003</v>
      </c>
      <c r="K18" s="689">
        <v>15223.321099999997</v>
      </c>
    </row>
    <row r="19" spans="1:11" ht="15.95" customHeight="1">
      <c r="A19" s="802">
        <v>2002</v>
      </c>
      <c r="B19" s="807">
        <v>1813.60546</v>
      </c>
      <c r="C19" s="807">
        <v>1560.4087299999999</v>
      </c>
      <c r="D19" s="807">
        <v>2681.4593199999999</v>
      </c>
      <c r="E19" s="807">
        <v>244.13695999999999</v>
      </c>
      <c r="F19" s="807">
        <v>24.98124</v>
      </c>
      <c r="G19" s="807">
        <v>4239.55368</v>
      </c>
      <c r="H19" s="807">
        <v>1223.0456899999999</v>
      </c>
      <c r="I19" s="807">
        <v>3135.0409500000001</v>
      </c>
      <c r="J19" s="807">
        <v>553.78570999999999</v>
      </c>
      <c r="K19" s="808">
        <v>15476.017740000001</v>
      </c>
    </row>
    <row r="20" spans="1:11" ht="15.95" customHeight="1">
      <c r="A20" s="144">
        <v>2003</v>
      </c>
      <c r="B20" s="688">
        <v>1885.8045</v>
      </c>
      <c r="C20" s="688">
        <v>1641.5977599999999</v>
      </c>
      <c r="D20" s="688">
        <v>2679.11006</v>
      </c>
      <c r="E20" s="688">
        <v>230.59963999999999</v>
      </c>
      <c r="F20" s="688">
        <v>29.342489999999998</v>
      </c>
      <c r="G20" s="688">
        <v>4345.3750499999996</v>
      </c>
      <c r="H20" s="688">
        <v>1290.9765199999999</v>
      </c>
      <c r="I20" s="688">
        <v>3210.7289900000001</v>
      </c>
      <c r="J20" s="688">
        <v>515.54626999999994</v>
      </c>
      <c r="K20" s="689">
        <v>15829.08128</v>
      </c>
    </row>
    <row r="21" spans="1:11" ht="15.95" customHeight="1">
      <c r="A21" s="802">
        <v>2004</v>
      </c>
      <c r="B21" s="807">
        <v>1926.4978699999999</v>
      </c>
      <c r="C21" s="807">
        <v>1705.4580899999999</v>
      </c>
      <c r="D21" s="807">
        <v>2752.5069899999999</v>
      </c>
      <c r="E21" s="807">
        <v>261.80293</v>
      </c>
      <c r="F21" s="807">
        <v>30.76135</v>
      </c>
      <c r="G21" s="807">
        <v>4421.8074099999994</v>
      </c>
      <c r="H21" s="807">
        <v>1382.5046199999999</v>
      </c>
      <c r="I21" s="807">
        <v>3323.0515299999997</v>
      </c>
      <c r="J21" s="807">
        <v>547.79625999999996</v>
      </c>
      <c r="K21" s="808">
        <v>16352.187049999997</v>
      </c>
    </row>
    <row r="22" spans="1:11" ht="15.95" customHeight="1">
      <c r="A22" s="144">
        <v>2005</v>
      </c>
      <c r="B22" s="688">
        <v>2027.81843</v>
      </c>
      <c r="C22" s="688">
        <v>1772.3771099999999</v>
      </c>
      <c r="D22" s="688">
        <v>2824.2524600000002</v>
      </c>
      <c r="E22" s="688">
        <v>257.22071</v>
      </c>
      <c r="F22" s="688">
        <v>47.717889999999997</v>
      </c>
      <c r="G22" s="688">
        <v>4481.94614</v>
      </c>
      <c r="H22" s="688">
        <v>1459.49522</v>
      </c>
      <c r="I22" s="688">
        <v>3413.2189199999998</v>
      </c>
      <c r="J22" s="688">
        <v>571.78895</v>
      </c>
      <c r="K22" s="689">
        <v>16855.83583</v>
      </c>
    </row>
    <row r="23" spans="1:11" ht="15.95" customHeight="1">
      <c r="A23" s="802">
        <v>2006</v>
      </c>
      <c r="B23" s="807">
        <v>2066.9533799999999</v>
      </c>
      <c r="C23" s="807">
        <v>1850.62375</v>
      </c>
      <c r="D23" s="807">
        <v>2877.7853500000001</v>
      </c>
      <c r="E23" s="807">
        <v>265.02443999999997</v>
      </c>
      <c r="F23" s="807">
        <v>49.915959999999998</v>
      </c>
      <c r="G23" s="807">
        <v>4589.0235499999999</v>
      </c>
      <c r="H23" s="807">
        <v>1551.34896</v>
      </c>
      <c r="I23" s="807">
        <v>3511.99251</v>
      </c>
      <c r="J23" s="807">
        <v>578.7088</v>
      </c>
      <c r="K23" s="808">
        <v>17341.376700000001</v>
      </c>
    </row>
    <row r="24" spans="1:11" ht="15.95" customHeight="1">
      <c r="A24" s="144">
        <v>2007</v>
      </c>
      <c r="B24" s="688">
        <v>2084.3285999999998</v>
      </c>
      <c r="C24" s="688">
        <v>1946.6294</v>
      </c>
      <c r="D24" s="688">
        <v>2961.4050499999998</v>
      </c>
      <c r="E24" s="688">
        <v>259.60485999999997</v>
      </c>
      <c r="F24" s="688">
        <v>49.346089999999997</v>
      </c>
      <c r="G24" s="688">
        <v>4663.6416300000001</v>
      </c>
      <c r="H24" s="688">
        <v>1645.5054399999999</v>
      </c>
      <c r="I24" s="688">
        <v>3606.2536599999999</v>
      </c>
      <c r="J24" s="688">
        <v>599.51486999999997</v>
      </c>
      <c r="K24" s="689">
        <v>17816.229599999999</v>
      </c>
    </row>
    <row r="25" spans="1:11" ht="15.95" customHeight="1">
      <c r="A25" s="802">
        <v>2008</v>
      </c>
      <c r="B25" s="807">
        <v>2158.62104</v>
      </c>
      <c r="C25" s="807">
        <v>2023.0501299999999</v>
      </c>
      <c r="D25" s="807">
        <v>3092.7426399999999</v>
      </c>
      <c r="E25" s="807">
        <v>241.92725999999999</v>
      </c>
      <c r="F25" s="807">
        <v>37.14622</v>
      </c>
      <c r="G25" s="807">
        <v>4760.3101900000001</v>
      </c>
      <c r="H25" s="807">
        <v>1756.83943</v>
      </c>
      <c r="I25" s="807">
        <v>3694.8161099999998</v>
      </c>
      <c r="J25" s="807">
        <v>623.04236000000003</v>
      </c>
      <c r="K25" s="808">
        <v>18388.49538</v>
      </c>
    </row>
    <row r="26" spans="1:11" ht="15.95" customHeight="1">
      <c r="A26" s="144">
        <v>2009</v>
      </c>
      <c r="B26" s="688">
        <v>2160.0515299999997</v>
      </c>
      <c r="C26" s="688">
        <v>2034.8545799999999</v>
      </c>
      <c r="D26" s="688">
        <v>3198.9943199999998</v>
      </c>
      <c r="E26" s="688">
        <v>252.90598</v>
      </c>
      <c r="F26" s="688">
        <v>38.309219999999996</v>
      </c>
      <c r="G26" s="688">
        <v>4852.0360000000001</v>
      </c>
      <c r="H26" s="688">
        <v>1873.0929099999998</v>
      </c>
      <c r="I26" s="688">
        <v>3788.75162</v>
      </c>
      <c r="J26" s="688">
        <v>615.08744000000002</v>
      </c>
      <c r="K26" s="689">
        <v>18814.083599999998</v>
      </c>
    </row>
    <row r="27" spans="1:11" ht="15.95" customHeight="1">
      <c r="A27" s="802">
        <v>2010</v>
      </c>
      <c r="B27" s="807">
        <v>2236.9490900000001</v>
      </c>
      <c r="C27" s="807">
        <v>2126.9990699999998</v>
      </c>
      <c r="D27" s="807">
        <v>3374.1770099999999</v>
      </c>
      <c r="E27" s="807">
        <v>239.47333</v>
      </c>
      <c r="F27" s="807">
        <v>44.22889</v>
      </c>
      <c r="G27" s="807">
        <v>4996.2363699999996</v>
      </c>
      <c r="H27" s="807">
        <v>2092.94643</v>
      </c>
      <c r="I27" s="807">
        <v>3929.7653700000001</v>
      </c>
      <c r="J27" s="807">
        <v>670.14386000000002</v>
      </c>
      <c r="K27" s="808">
        <v>19710.919419999998</v>
      </c>
    </row>
    <row r="28" spans="1:11" ht="15.95" customHeight="1">
      <c r="A28" s="144">
        <v>2011</v>
      </c>
      <c r="B28" s="688">
        <v>2378.4280399999998</v>
      </c>
      <c r="C28" s="688">
        <v>2153.13168</v>
      </c>
      <c r="D28" s="688">
        <v>3438.2699400000001</v>
      </c>
      <c r="E28" s="688">
        <v>253.53399999999999</v>
      </c>
      <c r="F28" s="688">
        <v>45.577970000000001</v>
      </c>
      <c r="G28" s="688">
        <v>5126.5505199999998</v>
      </c>
      <c r="H28" s="688">
        <v>2099.76161</v>
      </c>
      <c r="I28" s="688">
        <v>4090.5268599999999</v>
      </c>
      <c r="J28" s="688">
        <v>650.22167000000002</v>
      </c>
      <c r="K28" s="689">
        <v>20236.002289999997</v>
      </c>
    </row>
    <row r="29" spans="1:11" ht="15.95" customHeight="1">
      <c r="A29" s="802">
        <v>2012</v>
      </c>
      <c r="B29" s="807">
        <v>2307.14777</v>
      </c>
      <c r="C29" s="807">
        <v>2196.8953699999997</v>
      </c>
      <c r="D29" s="807">
        <v>3666.36913</v>
      </c>
      <c r="E29" s="807">
        <v>257.13929999999999</v>
      </c>
      <c r="F29" s="807">
        <v>47.83419</v>
      </c>
      <c r="G29" s="807">
        <v>5222.4747600000001</v>
      </c>
      <c r="H29" s="807">
        <v>2310.81122</v>
      </c>
      <c r="I29" s="807">
        <v>4199.3836599999995</v>
      </c>
      <c r="J29" s="807">
        <v>700.92846999999995</v>
      </c>
      <c r="K29" s="808">
        <v>20908.983869999996</v>
      </c>
    </row>
    <row r="30" spans="1:11" ht="15.95" customHeight="1">
      <c r="A30" s="144">
        <v>2013</v>
      </c>
      <c r="B30" s="688">
        <v>2443.0675799999999</v>
      </c>
      <c r="C30" s="688">
        <v>2241.5778299999997</v>
      </c>
      <c r="D30" s="688">
        <v>3847.1342199999999</v>
      </c>
      <c r="E30" s="688">
        <v>270.53706</v>
      </c>
      <c r="F30" s="688">
        <v>51.206890000000001</v>
      </c>
      <c r="G30" s="688">
        <v>5361.0345799999996</v>
      </c>
      <c r="H30" s="688">
        <v>2428.4021499999999</v>
      </c>
      <c r="I30" s="688">
        <v>4303.8094300000002</v>
      </c>
      <c r="J30" s="688">
        <v>738.37707</v>
      </c>
      <c r="K30" s="689">
        <v>21685.146809999998</v>
      </c>
    </row>
    <row r="31" spans="1:11" ht="15.95" customHeight="1">
      <c r="A31" s="802">
        <v>2014</v>
      </c>
      <c r="B31" s="807">
        <v>2598.5490500000001</v>
      </c>
      <c r="C31" s="807">
        <v>2247.8696599999998</v>
      </c>
      <c r="D31" s="807">
        <v>4054.9041699999998</v>
      </c>
      <c r="E31" s="807">
        <v>259.1164</v>
      </c>
      <c r="F31" s="807">
        <v>47.392249999999997</v>
      </c>
      <c r="G31" s="807">
        <v>5548.1380199999994</v>
      </c>
      <c r="H31" s="807">
        <v>2488.3315400000001</v>
      </c>
      <c r="I31" s="807">
        <v>4450.8707800000002</v>
      </c>
      <c r="J31" s="807">
        <v>738.22587999999996</v>
      </c>
      <c r="K31" s="808">
        <v>22433.397750000004</v>
      </c>
    </row>
    <row r="32" spans="1:11" ht="15.95" customHeight="1"/>
    <row r="33" spans="1:12" ht="15">
      <c r="A33" s="181" t="s">
        <v>421</v>
      </c>
      <c r="B33" s="180"/>
      <c r="C33" s="180"/>
      <c r="D33" s="180"/>
      <c r="E33" s="180"/>
      <c r="F33" s="180"/>
      <c r="G33" s="174"/>
      <c r="H33" s="174"/>
      <c r="I33" s="174"/>
      <c r="J33" s="174"/>
      <c r="K33" s="174"/>
      <c r="L33" s="17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theme="0"/>
  </sheetPr>
  <dimension ref="A1:L34"/>
  <sheetViews>
    <sheetView zoomScaleNormal="100" workbookViewId="0">
      <pane ySplit="6" topLeftCell="A7" activePane="bottomLeft" state="frozen"/>
      <selection pane="bottomLeft" activeCell="D1" sqref="D1"/>
    </sheetView>
  </sheetViews>
  <sheetFormatPr defaultRowHeight="12.75"/>
  <cols>
    <col min="1" max="1" width="12.265625" style="457" customWidth="1"/>
    <col min="2" max="2" width="9.265625" style="458" customWidth="1"/>
    <col min="3" max="3" width="8.265625" style="458" customWidth="1"/>
    <col min="4" max="4" width="8.86328125" style="458" customWidth="1"/>
    <col min="5" max="5" width="8.3984375" style="458" bestFit="1" customWidth="1"/>
    <col min="6" max="6" width="9.73046875" style="458" bestFit="1" customWidth="1"/>
    <col min="7" max="7" width="9.73046875" style="458" customWidth="1"/>
    <col min="8" max="8" width="6.3984375" style="458" bestFit="1" customWidth="1"/>
    <col min="9" max="9" width="6.3984375" style="458" customWidth="1"/>
    <col min="10" max="10" width="7" style="466" customWidth="1"/>
    <col min="11" max="11" width="7.59765625" style="466" customWidth="1"/>
    <col min="12" max="257" width="9.1328125" style="466"/>
    <col min="258" max="258" width="5.59765625" style="466" customWidth="1"/>
    <col min="259" max="265" width="9.86328125" style="466" customWidth="1"/>
    <col min="266" max="513" width="9.1328125" style="466"/>
    <col min="514" max="514" width="5.59765625" style="466" customWidth="1"/>
    <col min="515" max="521" width="9.86328125" style="466" customWidth="1"/>
    <col min="522" max="769" width="9.1328125" style="466"/>
    <col min="770" max="770" width="5.59765625" style="466" customWidth="1"/>
    <col min="771" max="777" width="9.86328125" style="466" customWidth="1"/>
    <col min="778" max="1025" width="9.1328125" style="466"/>
    <col min="1026" max="1026" width="5.59765625" style="466" customWidth="1"/>
    <col min="1027" max="1033" width="9.86328125" style="466" customWidth="1"/>
    <col min="1034" max="1281" width="9.1328125" style="466"/>
    <col min="1282" max="1282" width="5.59765625" style="466" customWidth="1"/>
    <col min="1283" max="1289" width="9.86328125" style="466" customWidth="1"/>
    <col min="1290" max="1537" width="9.1328125" style="466"/>
    <col min="1538" max="1538" width="5.59765625" style="466" customWidth="1"/>
    <col min="1539" max="1545" width="9.86328125" style="466" customWidth="1"/>
    <col min="1546" max="1793" width="9.1328125" style="466"/>
    <col min="1794" max="1794" width="5.59765625" style="466" customWidth="1"/>
    <col min="1795" max="1801" width="9.86328125" style="466" customWidth="1"/>
    <col min="1802" max="2049" width="9.1328125" style="466"/>
    <col min="2050" max="2050" width="5.59765625" style="466" customWidth="1"/>
    <col min="2051" max="2057" width="9.86328125" style="466" customWidth="1"/>
    <col min="2058" max="2305" width="9.1328125" style="466"/>
    <col min="2306" max="2306" width="5.59765625" style="466" customWidth="1"/>
    <col min="2307" max="2313" width="9.86328125" style="466" customWidth="1"/>
    <col min="2314" max="2561" width="9.1328125" style="466"/>
    <col min="2562" max="2562" width="5.59765625" style="466" customWidth="1"/>
    <col min="2563" max="2569" width="9.86328125" style="466" customWidth="1"/>
    <col min="2570" max="2817" width="9.1328125" style="466"/>
    <col min="2818" max="2818" width="5.59765625" style="466" customWidth="1"/>
    <col min="2819" max="2825" width="9.86328125" style="466" customWidth="1"/>
    <col min="2826" max="3073" width="9.1328125" style="466"/>
    <col min="3074" max="3074" width="5.59765625" style="466" customWidth="1"/>
    <col min="3075" max="3081" width="9.86328125" style="466" customWidth="1"/>
    <col min="3082" max="3329" width="9.1328125" style="466"/>
    <col min="3330" max="3330" width="5.59765625" style="466" customWidth="1"/>
    <col min="3331" max="3337" width="9.86328125" style="466" customWidth="1"/>
    <col min="3338" max="3585" width="9.1328125" style="466"/>
    <col min="3586" max="3586" width="5.59765625" style="466" customWidth="1"/>
    <col min="3587" max="3593" width="9.86328125" style="466" customWidth="1"/>
    <col min="3594" max="3841" width="9.1328125" style="466"/>
    <col min="3842" max="3842" width="5.59765625" style="466" customWidth="1"/>
    <col min="3843" max="3849" width="9.86328125" style="466" customWidth="1"/>
    <col min="3850" max="4097" width="9.1328125" style="466"/>
    <col min="4098" max="4098" width="5.59765625" style="466" customWidth="1"/>
    <col min="4099" max="4105" width="9.86328125" style="466" customWidth="1"/>
    <col min="4106" max="4353" width="9.1328125" style="466"/>
    <col min="4354" max="4354" width="5.59765625" style="466" customWidth="1"/>
    <col min="4355" max="4361" width="9.86328125" style="466" customWidth="1"/>
    <col min="4362" max="4609" width="9.1328125" style="466"/>
    <col min="4610" max="4610" width="5.59765625" style="466" customWidth="1"/>
    <col min="4611" max="4617" width="9.86328125" style="466" customWidth="1"/>
    <col min="4618" max="4865" width="9.1328125" style="466"/>
    <col min="4866" max="4866" width="5.59765625" style="466" customWidth="1"/>
    <col min="4867" max="4873" width="9.86328125" style="466" customWidth="1"/>
    <col min="4874" max="5121" width="9.1328125" style="466"/>
    <col min="5122" max="5122" width="5.59765625" style="466" customWidth="1"/>
    <col min="5123" max="5129" width="9.86328125" style="466" customWidth="1"/>
    <col min="5130" max="5377" width="9.1328125" style="466"/>
    <col min="5378" max="5378" width="5.59765625" style="466" customWidth="1"/>
    <col min="5379" max="5385" width="9.86328125" style="466" customWidth="1"/>
    <col min="5386" max="5633" width="9.1328125" style="466"/>
    <col min="5634" max="5634" width="5.59765625" style="466" customWidth="1"/>
    <col min="5635" max="5641" width="9.86328125" style="466" customWidth="1"/>
    <col min="5642" max="5889" width="9.1328125" style="466"/>
    <col min="5890" max="5890" width="5.59765625" style="466" customWidth="1"/>
    <col min="5891" max="5897" width="9.86328125" style="466" customWidth="1"/>
    <col min="5898" max="6145" width="9.1328125" style="466"/>
    <col min="6146" max="6146" width="5.59765625" style="466" customWidth="1"/>
    <col min="6147" max="6153" width="9.86328125" style="466" customWidth="1"/>
    <col min="6154" max="6401" width="9.1328125" style="466"/>
    <col min="6402" max="6402" width="5.59765625" style="466" customWidth="1"/>
    <col min="6403" max="6409" width="9.86328125" style="466" customWidth="1"/>
    <col min="6410" max="6657" width="9.1328125" style="466"/>
    <col min="6658" max="6658" width="5.59765625" style="466" customWidth="1"/>
    <col min="6659" max="6665" width="9.86328125" style="466" customWidth="1"/>
    <col min="6666" max="6913" width="9.1328125" style="466"/>
    <col min="6914" max="6914" width="5.59765625" style="466" customWidth="1"/>
    <col min="6915" max="6921" width="9.86328125" style="466" customWidth="1"/>
    <col min="6922" max="7169" width="9.1328125" style="466"/>
    <col min="7170" max="7170" width="5.59765625" style="466" customWidth="1"/>
    <col min="7171" max="7177" width="9.86328125" style="466" customWidth="1"/>
    <col min="7178" max="7425" width="9.1328125" style="466"/>
    <col min="7426" max="7426" width="5.59765625" style="466" customWidth="1"/>
    <col min="7427" max="7433" width="9.86328125" style="466" customWidth="1"/>
    <col min="7434" max="7681" width="9.1328125" style="466"/>
    <col min="7682" max="7682" width="5.59765625" style="466" customWidth="1"/>
    <col min="7683" max="7689" width="9.86328125" style="466" customWidth="1"/>
    <col min="7690" max="7937" width="9.1328125" style="466"/>
    <col min="7938" max="7938" width="5.59765625" style="466" customWidth="1"/>
    <col min="7939" max="7945" width="9.86328125" style="466" customWidth="1"/>
    <col min="7946" max="8193" width="9.1328125" style="466"/>
    <col min="8194" max="8194" width="5.59765625" style="466" customWidth="1"/>
    <col min="8195" max="8201" width="9.86328125" style="466" customWidth="1"/>
    <col min="8202" max="8449" width="9.1328125" style="466"/>
    <col min="8450" max="8450" width="5.59765625" style="466" customWidth="1"/>
    <col min="8451" max="8457" width="9.86328125" style="466" customWidth="1"/>
    <col min="8458" max="8705" width="9.1328125" style="466"/>
    <col min="8706" max="8706" width="5.59765625" style="466" customWidth="1"/>
    <col min="8707" max="8713" width="9.86328125" style="466" customWidth="1"/>
    <col min="8714" max="8961" width="9.1328125" style="466"/>
    <col min="8962" max="8962" width="5.59765625" style="466" customWidth="1"/>
    <col min="8963" max="8969" width="9.86328125" style="466" customWidth="1"/>
    <col min="8970" max="9217" width="9.1328125" style="466"/>
    <col min="9218" max="9218" width="5.59765625" style="466" customWidth="1"/>
    <col min="9219" max="9225" width="9.86328125" style="466" customWidth="1"/>
    <col min="9226" max="9473" width="9.1328125" style="466"/>
    <col min="9474" max="9474" width="5.59765625" style="466" customWidth="1"/>
    <col min="9475" max="9481" width="9.86328125" style="466" customWidth="1"/>
    <col min="9482" max="9729" width="9.1328125" style="466"/>
    <col min="9730" max="9730" width="5.59765625" style="466" customWidth="1"/>
    <col min="9731" max="9737" width="9.86328125" style="466" customWidth="1"/>
    <col min="9738" max="9985" width="9.1328125" style="466"/>
    <col min="9986" max="9986" width="5.59765625" style="466" customWidth="1"/>
    <col min="9987" max="9993" width="9.86328125" style="466" customWidth="1"/>
    <col min="9994" max="10241" width="9.1328125" style="466"/>
    <col min="10242" max="10242" width="5.59765625" style="466" customWidth="1"/>
    <col min="10243" max="10249" width="9.86328125" style="466" customWidth="1"/>
    <col min="10250" max="10497" width="9.1328125" style="466"/>
    <col min="10498" max="10498" width="5.59765625" style="466" customWidth="1"/>
    <col min="10499" max="10505" width="9.86328125" style="466" customWidth="1"/>
    <col min="10506" max="10753" width="9.1328125" style="466"/>
    <col min="10754" max="10754" width="5.59765625" style="466" customWidth="1"/>
    <col min="10755" max="10761" width="9.86328125" style="466" customWidth="1"/>
    <col min="10762" max="11009" width="9.1328125" style="466"/>
    <col min="11010" max="11010" width="5.59765625" style="466" customWidth="1"/>
    <col min="11011" max="11017" width="9.86328125" style="466" customWidth="1"/>
    <col min="11018" max="11265" width="9.1328125" style="466"/>
    <col min="11266" max="11266" width="5.59765625" style="466" customWidth="1"/>
    <col min="11267" max="11273" width="9.86328125" style="466" customWidth="1"/>
    <col min="11274" max="11521" width="9.1328125" style="466"/>
    <col min="11522" max="11522" width="5.59765625" style="466" customWidth="1"/>
    <col min="11523" max="11529" width="9.86328125" style="466" customWidth="1"/>
    <col min="11530" max="11777" width="9.1328125" style="466"/>
    <col min="11778" max="11778" width="5.59765625" style="466" customWidth="1"/>
    <col min="11779" max="11785" width="9.86328125" style="466" customWidth="1"/>
    <col min="11786" max="12033" width="9.1328125" style="466"/>
    <col min="12034" max="12034" width="5.59765625" style="466" customWidth="1"/>
    <col min="12035" max="12041" width="9.86328125" style="466" customWidth="1"/>
    <col min="12042" max="12289" width="9.1328125" style="466"/>
    <col min="12290" max="12290" width="5.59765625" style="466" customWidth="1"/>
    <col min="12291" max="12297" width="9.86328125" style="466" customWidth="1"/>
    <col min="12298" max="12545" width="9.1328125" style="466"/>
    <col min="12546" max="12546" width="5.59765625" style="466" customWidth="1"/>
    <col min="12547" max="12553" width="9.86328125" style="466" customWidth="1"/>
    <col min="12554" max="12801" width="9.1328125" style="466"/>
    <col min="12802" max="12802" width="5.59765625" style="466" customWidth="1"/>
    <col min="12803" max="12809" width="9.86328125" style="466" customWidth="1"/>
    <col min="12810" max="13057" width="9.1328125" style="466"/>
    <col min="13058" max="13058" width="5.59765625" style="466" customWidth="1"/>
    <col min="13059" max="13065" width="9.86328125" style="466" customWidth="1"/>
    <col min="13066" max="13313" width="9.1328125" style="466"/>
    <col min="13314" max="13314" width="5.59765625" style="466" customWidth="1"/>
    <col min="13315" max="13321" width="9.86328125" style="466" customWidth="1"/>
    <col min="13322" max="13569" width="9.1328125" style="466"/>
    <col min="13570" max="13570" width="5.59765625" style="466" customWidth="1"/>
    <col min="13571" max="13577" width="9.86328125" style="466" customWidth="1"/>
    <col min="13578" max="13825" width="9.1328125" style="466"/>
    <col min="13826" max="13826" width="5.59765625" style="466" customWidth="1"/>
    <col min="13827" max="13833" width="9.86328125" style="466" customWidth="1"/>
    <col min="13834" max="14081" width="9.1328125" style="466"/>
    <col min="14082" max="14082" width="5.59765625" style="466" customWidth="1"/>
    <col min="14083" max="14089" width="9.86328125" style="466" customWidth="1"/>
    <col min="14090" max="14337" width="9.1328125" style="466"/>
    <col min="14338" max="14338" width="5.59765625" style="466" customWidth="1"/>
    <col min="14339" max="14345" width="9.86328125" style="466" customWidth="1"/>
    <col min="14346" max="14593" width="9.1328125" style="466"/>
    <col min="14594" max="14594" width="5.59765625" style="466" customWidth="1"/>
    <col min="14595" max="14601" width="9.86328125" style="466" customWidth="1"/>
    <col min="14602" max="14849" width="9.1328125" style="466"/>
    <col min="14850" max="14850" width="5.59765625" style="466" customWidth="1"/>
    <col min="14851" max="14857" width="9.86328125" style="466" customWidth="1"/>
    <col min="14858" max="15105" width="9.1328125" style="466"/>
    <col min="15106" max="15106" width="5.59765625" style="466" customWidth="1"/>
    <col min="15107" max="15113" width="9.86328125" style="466" customWidth="1"/>
    <col min="15114" max="15361" width="9.1328125" style="466"/>
    <col min="15362" max="15362" width="5.59765625" style="466" customWidth="1"/>
    <col min="15363" max="15369" width="9.86328125" style="466" customWidth="1"/>
    <col min="15370" max="15617" width="9.1328125" style="466"/>
    <col min="15618" max="15618" width="5.59765625" style="466" customWidth="1"/>
    <col min="15619" max="15625" width="9.86328125" style="466" customWidth="1"/>
    <col min="15626" max="15873" width="9.1328125" style="466"/>
    <col min="15874" max="15874" width="5.59765625" style="466" customWidth="1"/>
    <col min="15875" max="15881" width="9.86328125" style="466" customWidth="1"/>
    <col min="15882" max="16129" width="9.1328125" style="466"/>
    <col min="16130" max="16130" width="5.59765625" style="466" customWidth="1"/>
    <col min="16131" max="16137" width="9.86328125" style="466" customWidth="1"/>
    <col min="16138" max="16384" width="9.1328125" style="466"/>
  </cols>
  <sheetData>
    <row r="1" spans="1:12" ht="13.15">
      <c r="A1" s="524" t="str">
        <f>IF(språk=lista[[#Headers],[Svenska]],"Innehåll",IF(språk=lista[[#Headers],[English]],"Contents","FEL"))</f>
        <v>Contents</v>
      </c>
    </row>
    <row r="3" spans="1:12" ht="15.75">
      <c r="A3" s="455" t="str">
        <f>IFERROR(INDEX(lista[],MATCH($A5,lista[ID],0),MATCH(språk,lista[#Headers],0)),"")</f>
        <v>World electricity generation, by energy source, from 1990, TWh</v>
      </c>
      <c r="B3" s="455"/>
      <c r="C3" s="455"/>
      <c r="D3" s="455"/>
      <c r="E3" s="455"/>
      <c r="F3" s="455"/>
      <c r="G3" s="455"/>
      <c r="H3" s="455"/>
      <c r="I3" s="455"/>
    </row>
    <row r="4" spans="1:12" ht="15.75">
      <c r="A4" s="469"/>
      <c r="B4" s="469"/>
      <c r="C4" s="469"/>
      <c r="D4" s="469"/>
      <c r="E4" s="469"/>
      <c r="F4" s="469"/>
      <c r="G4" s="469"/>
      <c r="H4" s="469"/>
      <c r="I4" s="469"/>
    </row>
    <row r="5" spans="1:12" hidden="1">
      <c r="A5" s="457">
        <v>82</v>
      </c>
      <c r="B5" s="458" t="s">
        <v>647</v>
      </c>
      <c r="C5" s="458" t="s">
        <v>648</v>
      </c>
      <c r="D5" s="458" t="s">
        <v>649</v>
      </c>
      <c r="E5" s="458" t="s">
        <v>650</v>
      </c>
      <c r="F5" s="458" t="s">
        <v>651</v>
      </c>
      <c r="G5" s="458" t="s">
        <v>652</v>
      </c>
      <c r="H5" s="458" t="s">
        <v>653</v>
      </c>
      <c r="I5" s="458" t="s">
        <v>654</v>
      </c>
      <c r="J5" s="458" t="s">
        <v>655</v>
      </c>
      <c r="K5" s="458" t="s">
        <v>656</v>
      </c>
    </row>
    <row r="6" spans="1:12" ht="26.25">
      <c r="A6" s="142"/>
      <c r="B6" s="143" t="str">
        <f>IFERROR(INDEX(_12.4[],MATCH(språk,_12.4[[id]:[id]],0),MATCH(B$5,_12.4[#Headers],0)),"")</f>
        <v>Coal, peat, shale oil</v>
      </c>
      <c r="C6" s="143" t="str">
        <f>IFERROR(INDEX(_12.4[],MATCH(språk,_12.4[[id]:[id]],0),MATCH(C$5,_12.4[#Headers],0)),"")</f>
        <v>Oil</v>
      </c>
      <c r="D6" s="143" t="str">
        <f>IFERROR(INDEX(_12.4[],MATCH(språk,_12.4[[id]:[id]],0),MATCH(D$5,_12.4[#Headers],0)),"")</f>
        <v>Gas</v>
      </c>
      <c r="E6" s="143" t="str">
        <f>IFERROR(INDEX(_12.4[],MATCH(språk,_12.4[[id]:[id]],0),MATCH(E$5,_12.4[#Headers],0)),"")</f>
        <v>Nuclear power</v>
      </c>
      <c r="F6" s="143" t="str">
        <f>IFERROR(INDEX(_12.4[],MATCH(språk,_12.4[[id]:[id]],0),MATCH(F$5,_12.4[#Headers],0)),"")</f>
        <v>Hydropower</v>
      </c>
      <c r="G6" s="143" t="str">
        <f>IFERROR(INDEX(_12.4[],MATCH(språk,_12.4[[id]:[id]],0),MATCH(G$5,_12.4[#Headers],0)),"")</f>
        <v>Biomass</v>
      </c>
      <c r="H6" s="143" t="str">
        <f>IFERROR(INDEX(_12.4[],MATCH(språk,_12.4[[id]:[id]],0),MATCH(H$5,_12.4[#Headers],0)),"")</f>
        <v>Waste</v>
      </c>
      <c r="I6" s="143" t="str">
        <f>IFERROR(INDEX(_12.4[],MATCH(språk,_12.4[[id]:[id]],0),MATCH(I$5,_12.4[#Headers],0)),"")</f>
        <v>Windpower</v>
      </c>
      <c r="J6" s="143" t="str">
        <f>IFERROR(INDEX(_12.4[],MATCH(språk,_12.4[[id]:[id]],0),MATCH(J$5,_12.4[#Headers],0)),"")</f>
        <v>Solar</v>
      </c>
      <c r="K6" s="143" t="str">
        <f>IFERROR(INDEX(_12.4[],MATCH(språk,_12.4[[id]:[id]],0),MATCH(K$5,_12.4[#Headers],0)),"")</f>
        <v>Other</v>
      </c>
      <c r="L6" s="235" t="str">
        <f>IF(språk=lista[[#Headers],[Svenska]],"Totalt",IF(språk=lista[[#Headers],[English]],"Total","FEL"))</f>
        <v>Total</v>
      </c>
    </row>
    <row r="7" spans="1:12" ht="15.95" customHeight="1">
      <c r="A7" s="802">
        <v>1990</v>
      </c>
      <c r="B7" s="807">
        <v>4423.5159999999996</v>
      </c>
      <c r="C7" s="807">
        <v>1311.241</v>
      </c>
      <c r="D7" s="807">
        <v>1760.393</v>
      </c>
      <c r="E7" s="807">
        <v>2012.902</v>
      </c>
      <c r="F7" s="807">
        <v>2191.732</v>
      </c>
      <c r="G7" s="807">
        <v>105.75</v>
      </c>
      <c r="H7" s="807">
        <v>25.948</v>
      </c>
      <c r="I7" s="807">
        <v>3.88</v>
      </c>
      <c r="J7" s="807">
        <v>2.1000000000000001E-2</v>
      </c>
      <c r="K7" s="807">
        <v>37.865000000000002</v>
      </c>
      <c r="L7" s="808">
        <v>11873.248</v>
      </c>
    </row>
    <row r="8" spans="1:12" ht="15.95" customHeight="1">
      <c r="A8" s="144">
        <v>1991</v>
      </c>
      <c r="B8" s="688">
        <v>4530.799</v>
      </c>
      <c r="C8" s="688">
        <v>1313.7529999999999</v>
      </c>
      <c r="D8" s="688">
        <v>1787.0509999999999</v>
      </c>
      <c r="E8" s="688">
        <v>2105.7869999999998</v>
      </c>
      <c r="F8" s="688">
        <v>2268.357</v>
      </c>
      <c r="G8" s="688">
        <v>72.415000000000006</v>
      </c>
      <c r="H8" s="688">
        <v>32.006</v>
      </c>
      <c r="I8" s="688">
        <v>4.1970000000000001</v>
      </c>
      <c r="J8" s="688">
        <v>2.5999999999999999E-2</v>
      </c>
      <c r="K8" s="688">
        <v>38.923000000000002</v>
      </c>
      <c r="L8" s="689">
        <v>12153.314</v>
      </c>
    </row>
    <row r="9" spans="1:12" ht="15.95" customHeight="1">
      <c r="A9" s="802">
        <v>1992</v>
      </c>
      <c r="B9" s="807">
        <v>4612.88</v>
      </c>
      <c r="C9" s="807">
        <v>1294.117</v>
      </c>
      <c r="D9" s="807">
        <v>1801.028</v>
      </c>
      <c r="E9" s="807">
        <v>2123.6880000000001</v>
      </c>
      <c r="F9" s="807">
        <v>2267.5210000000002</v>
      </c>
      <c r="G9" s="807">
        <v>83.254000000000005</v>
      </c>
      <c r="H9" s="807">
        <v>36.671999999999997</v>
      </c>
      <c r="I9" s="807">
        <v>4.6379999999999999</v>
      </c>
      <c r="J9" s="807">
        <v>0.06</v>
      </c>
      <c r="K9" s="807">
        <v>41.100999999999999</v>
      </c>
      <c r="L9" s="808">
        <v>12264.959000000003</v>
      </c>
    </row>
    <row r="10" spans="1:12" ht="15.95" customHeight="1">
      <c r="A10" s="144">
        <v>1993</v>
      </c>
      <c r="B10" s="688">
        <v>4712.0209999999997</v>
      </c>
      <c r="C10" s="688">
        <v>1237.347</v>
      </c>
      <c r="D10" s="688">
        <v>1854.789</v>
      </c>
      <c r="E10" s="688">
        <v>2190.502</v>
      </c>
      <c r="F10" s="688">
        <v>2397.6770000000001</v>
      </c>
      <c r="G10" s="688">
        <v>85.994</v>
      </c>
      <c r="H10" s="688">
        <v>31.67</v>
      </c>
      <c r="I10" s="688">
        <v>5.6020000000000003</v>
      </c>
      <c r="J10" s="688">
        <v>8.5000000000000006E-2</v>
      </c>
      <c r="K10" s="688">
        <v>42.301000000000002</v>
      </c>
      <c r="L10" s="689">
        <v>12557.987999999999</v>
      </c>
    </row>
    <row r="11" spans="1:12" ht="15.95" customHeight="1">
      <c r="A11" s="802">
        <v>1994</v>
      </c>
      <c r="B11" s="807">
        <v>4848.6670000000004</v>
      </c>
      <c r="C11" s="807">
        <v>1250.6559999999999</v>
      </c>
      <c r="D11" s="807">
        <v>1927.58</v>
      </c>
      <c r="E11" s="807">
        <v>2242.2979999999998</v>
      </c>
      <c r="F11" s="807">
        <v>2419.348</v>
      </c>
      <c r="G11" s="807">
        <v>90.311000000000007</v>
      </c>
      <c r="H11" s="807">
        <v>34.851999999999997</v>
      </c>
      <c r="I11" s="807">
        <v>7.3019999999999996</v>
      </c>
      <c r="J11" s="807">
        <v>0.104</v>
      </c>
      <c r="K11" s="807">
        <v>42.927999999999997</v>
      </c>
      <c r="L11" s="808">
        <v>12864.046</v>
      </c>
    </row>
    <row r="12" spans="1:12" ht="15.95" customHeight="1">
      <c r="A12" s="144">
        <v>1995</v>
      </c>
      <c r="B12" s="688">
        <v>4990.0609999999997</v>
      </c>
      <c r="C12" s="688">
        <v>1231.4960000000001</v>
      </c>
      <c r="D12" s="688">
        <v>2027.0419999999999</v>
      </c>
      <c r="E12" s="688">
        <v>2331.951</v>
      </c>
      <c r="F12" s="688">
        <v>2545.8620000000001</v>
      </c>
      <c r="G12" s="688">
        <v>95.671999999999997</v>
      </c>
      <c r="H12" s="688">
        <v>37.572000000000003</v>
      </c>
      <c r="I12" s="688">
        <v>7.9480000000000004</v>
      </c>
      <c r="J12" s="688">
        <v>0.13100000000000001</v>
      </c>
      <c r="K12" s="688">
        <v>42.165999999999997</v>
      </c>
      <c r="L12" s="689">
        <v>13309.901</v>
      </c>
    </row>
    <row r="13" spans="1:12" ht="15.95" customHeight="1">
      <c r="A13" s="802">
        <v>1996</v>
      </c>
      <c r="B13" s="807">
        <v>5233.6610000000001</v>
      </c>
      <c r="C13" s="807">
        <v>1220.2280000000001</v>
      </c>
      <c r="D13" s="807">
        <v>2096.5239999999999</v>
      </c>
      <c r="E13" s="807">
        <v>2417.1930000000002</v>
      </c>
      <c r="F13" s="807">
        <v>2584.9119999999998</v>
      </c>
      <c r="G13" s="807">
        <v>95.338999999999999</v>
      </c>
      <c r="H13" s="807">
        <v>41.408000000000001</v>
      </c>
      <c r="I13" s="807">
        <v>9.4459999999999997</v>
      </c>
      <c r="J13" s="807">
        <v>0.16200000000000001</v>
      </c>
      <c r="K13" s="807">
        <v>44.46</v>
      </c>
      <c r="L13" s="808">
        <v>13743.332999999999</v>
      </c>
    </row>
    <row r="14" spans="1:12" ht="15.95" customHeight="1">
      <c r="A14" s="144">
        <v>1997</v>
      </c>
      <c r="B14" s="688">
        <v>5351.848</v>
      </c>
      <c r="C14" s="688">
        <v>1221.0319999999999</v>
      </c>
      <c r="D14" s="688">
        <v>2250.2150000000001</v>
      </c>
      <c r="E14" s="688">
        <v>2393.1010000000001</v>
      </c>
      <c r="F14" s="688">
        <v>2615.7260000000001</v>
      </c>
      <c r="G14" s="688">
        <v>101.997</v>
      </c>
      <c r="H14" s="688">
        <v>43.661999999999999</v>
      </c>
      <c r="I14" s="688">
        <v>12.077999999999999</v>
      </c>
      <c r="J14" s="688">
        <v>0.217</v>
      </c>
      <c r="K14" s="688">
        <v>44.970999999999997</v>
      </c>
      <c r="L14" s="689">
        <v>14034.847000000002</v>
      </c>
    </row>
    <row r="15" spans="1:12" ht="15.95" customHeight="1">
      <c r="A15" s="802">
        <v>1998</v>
      </c>
      <c r="B15" s="807">
        <v>5458.64</v>
      </c>
      <c r="C15" s="807">
        <v>1262.7149999999999</v>
      </c>
      <c r="D15" s="807">
        <v>2384.0140000000001</v>
      </c>
      <c r="E15" s="807">
        <v>2445.21</v>
      </c>
      <c r="F15" s="807">
        <v>2629.81</v>
      </c>
      <c r="G15" s="807">
        <v>103.01900000000001</v>
      </c>
      <c r="H15" s="807">
        <v>47.247999999999998</v>
      </c>
      <c r="I15" s="807">
        <v>16.071000000000002</v>
      </c>
      <c r="J15" s="807">
        <v>0.34399999999999997</v>
      </c>
      <c r="K15" s="807">
        <v>48.008000000000003</v>
      </c>
      <c r="L15" s="808">
        <v>14395.079</v>
      </c>
    </row>
    <row r="16" spans="1:12" ht="15.95" customHeight="1">
      <c r="A16" s="144">
        <v>1999</v>
      </c>
      <c r="B16" s="688">
        <v>5586.7950000000001</v>
      </c>
      <c r="C16" s="688">
        <v>1231.1300000000001</v>
      </c>
      <c r="D16" s="688">
        <v>2584.8139999999999</v>
      </c>
      <c r="E16" s="688">
        <v>2531.1480000000001</v>
      </c>
      <c r="F16" s="688">
        <v>2635.4859999999999</v>
      </c>
      <c r="G16" s="688">
        <v>109.09399999999999</v>
      </c>
      <c r="H16" s="688">
        <v>49.584000000000003</v>
      </c>
      <c r="I16" s="688">
        <v>21.573</v>
      </c>
      <c r="J16" s="688">
        <v>0.61899999999999999</v>
      </c>
      <c r="K16" s="688">
        <v>51.243000000000002</v>
      </c>
      <c r="L16" s="689">
        <v>14801.486000000001</v>
      </c>
    </row>
    <row r="17" spans="1:12" ht="15.95" customHeight="1">
      <c r="A17" s="802">
        <v>2000</v>
      </c>
      <c r="B17" s="807">
        <v>6001.5929999999998</v>
      </c>
      <c r="C17" s="807">
        <v>1204.502</v>
      </c>
      <c r="D17" s="807">
        <v>2752.3829999999998</v>
      </c>
      <c r="E17" s="807">
        <v>2590.623</v>
      </c>
      <c r="F17" s="807">
        <v>2698.6860000000001</v>
      </c>
      <c r="G17" s="807">
        <v>115.393</v>
      </c>
      <c r="H17" s="807">
        <v>54.304000000000002</v>
      </c>
      <c r="I17" s="807">
        <v>31.370999999999999</v>
      </c>
      <c r="J17" s="807">
        <v>1.0309999999999999</v>
      </c>
      <c r="K17" s="807">
        <v>55.064999999999998</v>
      </c>
      <c r="L17" s="808">
        <v>15504.950999999999</v>
      </c>
    </row>
    <row r="18" spans="1:12" ht="15.95" customHeight="1">
      <c r="A18" s="144">
        <v>2001</v>
      </c>
      <c r="B18" s="688">
        <v>6019.6109999999999</v>
      </c>
      <c r="C18" s="688">
        <v>1150.8699999999999</v>
      </c>
      <c r="D18" s="688">
        <v>2905.2020000000002</v>
      </c>
      <c r="E18" s="688">
        <v>2637.6849999999999</v>
      </c>
      <c r="F18" s="688">
        <v>2640.3580000000002</v>
      </c>
      <c r="G18" s="688">
        <v>114.86199999999999</v>
      </c>
      <c r="H18" s="688">
        <v>60.177999999999997</v>
      </c>
      <c r="I18" s="688">
        <v>38.384</v>
      </c>
      <c r="J18" s="688">
        <v>1.2969999999999999</v>
      </c>
      <c r="K18" s="688">
        <v>54.777999999999999</v>
      </c>
      <c r="L18" s="689">
        <v>15623.225</v>
      </c>
    </row>
    <row r="19" spans="1:12" ht="15.95" customHeight="1">
      <c r="A19" s="802">
        <v>2002</v>
      </c>
      <c r="B19" s="807">
        <v>6304.5280000000002</v>
      </c>
      <c r="C19" s="807">
        <v>1149.921</v>
      </c>
      <c r="D19" s="807">
        <v>3108.25</v>
      </c>
      <c r="E19" s="807">
        <v>2667.7779999999998</v>
      </c>
      <c r="F19" s="807">
        <v>2701.2739999999999</v>
      </c>
      <c r="G19" s="807">
        <v>127.877</v>
      </c>
      <c r="H19" s="807">
        <v>62.133000000000003</v>
      </c>
      <c r="I19" s="807">
        <v>52.780999999999999</v>
      </c>
      <c r="J19" s="807">
        <v>1.661</v>
      </c>
      <c r="K19" s="807">
        <v>55.981999999999999</v>
      </c>
      <c r="L19" s="808">
        <v>16232.185000000001</v>
      </c>
    </row>
    <row r="20" spans="1:12" ht="15.95" customHeight="1">
      <c r="A20" s="144">
        <v>2003</v>
      </c>
      <c r="B20" s="688">
        <v>6714.8159999999998</v>
      </c>
      <c r="C20" s="688">
        <v>1148.03</v>
      </c>
      <c r="D20" s="688">
        <v>3266.3359999999998</v>
      </c>
      <c r="E20" s="688">
        <v>2635.3490000000002</v>
      </c>
      <c r="F20" s="688">
        <v>2724.8560000000002</v>
      </c>
      <c r="G20" s="688">
        <v>137.696</v>
      </c>
      <c r="H20" s="688">
        <v>58.564</v>
      </c>
      <c r="I20" s="688">
        <v>64.167000000000002</v>
      </c>
      <c r="J20" s="688">
        <v>2.125</v>
      </c>
      <c r="K20" s="688">
        <v>60.781999999999996</v>
      </c>
      <c r="L20" s="689">
        <v>16812.720999999998</v>
      </c>
    </row>
    <row r="21" spans="1:12" ht="15.95" customHeight="1">
      <c r="A21" s="802">
        <v>2004</v>
      </c>
      <c r="B21" s="807">
        <v>6938.9040000000005</v>
      </c>
      <c r="C21" s="807">
        <v>1155.473</v>
      </c>
      <c r="D21" s="807">
        <v>3509.3249999999998</v>
      </c>
      <c r="E21" s="807">
        <v>2738.0120000000002</v>
      </c>
      <c r="F21" s="807">
        <v>2895.2939999999999</v>
      </c>
      <c r="G21" s="807">
        <v>150.928</v>
      </c>
      <c r="H21" s="807">
        <v>61.273000000000003</v>
      </c>
      <c r="I21" s="807">
        <v>84.358999999999995</v>
      </c>
      <c r="J21" s="807">
        <v>2.8109999999999999</v>
      </c>
      <c r="K21" s="807">
        <v>65.897000000000006</v>
      </c>
      <c r="L21" s="808">
        <v>17602.276000000005</v>
      </c>
    </row>
    <row r="22" spans="1:12" ht="15.95" customHeight="1">
      <c r="A22" s="144">
        <v>2005</v>
      </c>
      <c r="B22" s="688">
        <v>7319.4089999999997</v>
      </c>
      <c r="C22" s="688">
        <v>1145.826</v>
      </c>
      <c r="D22" s="688">
        <v>3700.4029999999998</v>
      </c>
      <c r="E22" s="688">
        <v>2767.9520000000002</v>
      </c>
      <c r="F22" s="688">
        <v>3016.6219999999998</v>
      </c>
      <c r="G22" s="688">
        <v>172.26400000000001</v>
      </c>
      <c r="H22" s="688">
        <v>64.731999999999999</v>
      </c>
      <c r="I22" s="688">
        <v>103.85599999999999</v>
      </c>
      <c r="J22" s="688">
        <v>4.0359999999999996</v>
      </c>
      <c r="K22" s="688">
        <v>71.614000000000004</v>
      </c>
      <c r="L22" s="689">
        <v>18366.714</v>
      </c>
    </row>
    <row r="23" spans="1:12" ht="15.95" customHeight="1">
      <c r="A23" s="802">
        <v>2006</v>
      </c>
      <c r="B23" s="807">
        <v>7736.4309999999996</v>
      </c>
      <c r="C23" s="807">
        <v>1068.883</v>
      </c>
      <c r="D23" s="807">
        <v>3891.0479999999998</v>
      </c>
      <c r="E23" s="807">
        <v>2791.471</v>
      </c>
      <c r="F23" s="807">
        <v>3127.5189999999998</v>
      </c>
      <c r="G23" s="807">
        <v>184.572</v>
      </c>
      <c r="H23" s="807">
        <v>67.872</v>
      </c>
      <c r="I23" s="807">
        <v>133.03100000000001</v>
      </c>
      <c r="J23" s="807">
        <v>5.6379999999999999</v>
      </c>
      <c r="K23" s="807">
        <v>68.902000000000001</v>
      </c>
      <c r="L23" s="808">
        <v>19075.366999999995</v>
      </c>
    </row>
    <row r="24" spans="1:12" ht="15.95" customHeight="1">
      <c r="A24" s="144">
        <v>2007</v>
      </c>
      <c r="B24" s="688">
        <v>8202.1530000000002</v>
      </c>
      <c r="C24" s="688">
        <v>1093.2940000000001</v>
      </c>
      <c r="D24" s="688">
        <v>4208.3419999999996</v>
      </c>
      <c r="E24" s="688">
        <v>2719.2289999999998</v>
      </c>
      <c r="F24" s="688">
        <v>3165.95</v>
      </c>
      <c r="G24" s="688">
        <v>202.57300000000001</v>
      </c>
      <c r="H24" s="688">
        <v>69.067999999999998</v>
      </c>
      <c r="I24" s="688">
        <v>170.768</v>
      </c>
      <c r="J24" s="688">
        <v>7.5430000000000001</v>
      </c>
      <c r="K24" s="688">
        <v>70.87</v>
      </c>
      <c r="L24" s="689">
        <v>19909.79</v>
      </c>
    </row>
    <row r="25" spans="1:12" ht="15.95" customHeight="1">
      <c r="A25" s="802">
        <v>2008</v>
      </c>
      <c r="B25" s="807">
        <v>8263.7279999999992</v>
      </c>
      <c r="C25" s="807">
        <v>1046.1510000000001</v>
      </c>
      <c r="D25" s="807">
        <v>4365.0950000000003</v>
      </c>
      <c r="E25" s="807">
        <v>2733.085</v>
      </c>
      <c r="F25" s="807">
        <v>3289.114</v>
      </c>
      <c r="G25" s="807">
        <v>221.839</v>
      </c>
      <c r="H25" s="807">
        <v>71.212999999999994</v>
      </c>
      <c r="I25" s="807">
        <v>220.99799999999999</v>
      </c>
      <c r="J25" s="807">
        <v>11.972</v>
      </c>
      <c r="K25" s="807">
        <v>72.709999999999994</v>
      </c>
      <c r="L25" s="808">
        <v>20295.904999999999</v>
      </c>
    </row>
    <row r="26" spans="1:12" ht="15.95" customHeight="1">
      <c r="A26" s="144">
        <v>2009</v>
      </c>
      <c r="B26" s="688">
        <v>8119.5709999999999</v>
      </c>
      <c r="C26" s="688">
        <v>983.505</v>
      </c>
      <c r="D26" s="688">
        <v>4409.8360000000002</v>
      </c>
      <c r="E26" s="688">
        <v>2696.1610000000001</v>
      </c>
      <c r="F26" s="688">
        <v>3340.0059999999999</v>
      </c>
      <c r="G26" s="688">
        <v>243.715</v>
      </c>
      <c r="H26" s="688">
        <v>72.632999999999996</v>
      </c>
      <c r="I26" s="688">
        <v>277.38400000000001</v>
      </c>
      <c r="J26" s="688">
        <v>20.053000000000001</v>
      </c>
      <c r="K26" s="688">
        <v>74.302000000000007</v>
      </c>
      <c r="L26" s="689">
        <v>20237.166000000001</v>
      </c>
    </row>
    <row r="27" spans="1:12" ht="15.95" customHeight="1">
      <c r="A27" s="802">
        <v>2010</v>
      </c>
      <c r="B27" s="807">
        <v>8666.0910000000003</v>
      </c>
      <c r="C27" s="807">
        <v>958.58</v>
      </c>
      <c r="D27" s="807">
        <v>4807.0029999999997</v>
      </c>
      <c r="E27" s="807">
        <v>2756.288</v>
      </c>
      <c r="F27" s="807">
        <v>3529.529</v>
      </c>
      <c r="G27" s="807">
        <v>294.74700000000001</v>
      </c>
      <c r="H27" s="807">
        <v>85.745999999999995</v>
      </c>
      <c r="I27" s="807">
        <v>341.274</v>
      </c>
      <c r="J27" s="807">
        <v>32.345999999999997</v>
      </c>
      <c r="K27" s="807">
        <v>77.231999999999999</v>
      </c>
      <c r="L27" s="808">
        <v>21548.835999999999</v>
      </c>
    </row>
    <row r="28" spans="1:12" ht="15.95" customHeight="1">
      <c r="A28" s="144">
        <v>2011</v>
      </c>
      <c r="B28" s="688">
        <v>9147.2980000000007</v>
      </c>
      <c r="C28" s="688">
        <v>1055.742</v>
      </c>
      <c r="D28" s="688">
        <v>4880.1670000000004</v>
      </c>
      <c r="E28" s="688">
        <v>2582.6350000000002</v>
      </c>
      <c r="F28" s="688">
        <v>3591.8589999999999</v>
      </c>
      <c r="G28" s="688">
        <v>316.505</v>
      </c>
      <c r="H28" s="688">
        <v>92.212999999999994</v>
      </c>
      <c r="I28" s="688">
        <v>435.31099999999998</v>
      </c>
      <c r="J28" s="688">
        <v>63.167000000000002</v>
      </c>
      <c r="K28" s="688">
        <v>79.393000000000001</v>
      </c>
      <c r="L28" s="689">
        <v>22244.290000000008</v>
      </c>
    </row>
    <row r="29" spans="1:12" ht="15.95" customHeight="1">
      <c r="A29" s="802">
        <v>2012</v>
      </c>
      <c r="B29" s="807">
        <v>9176.76</v>
      </c>
      <c r="C29" s="807">
        <v>1124.5039999999999</v>
      </c>
      <c r="D29" s="807">
        <v>5087.0600000000004</v>
      </c>
      <c r="E29" s="807">
        <v>2460.2849999999999</v>
      </c>
      <c r="F29" s="807">
        <v>3753.1660000000002</v>
      </c>
      <c r="G29" s="807">
        <v>340.60899999999998</v>
      </c>
      <c r="H29" s="807">
        <v>94.116</v>
      </c>
      <c r="I29" s="807">
        <v>522.72500000000002</v>
      </c>
      <c r="J29" s="807">
        <v>98.676000000000002</v>
      </c>
      <c r="K29" s="807">
        <v>82.367000000000004</v>
      </c>
      <c r="L29" s="808">
        <v>22740.268</v>
      </c>
    </row>
    <row r="30" spans="1:12" ht="15.95" customHeight="1">
      <c r="A30" s="144">
        <v>2013</v>
      </c>
      <c r="B30" s="688">
        <v>9632.9549999999999</v>
      </c>
      <c r="C30" s="688">
        <v>1027.6020000000001</v>
      </c>
      <c r="D30" s="688">
        <v>5066.2150000000001</v>
      </c>
      <c r="E30" s="688">
        <v>2478.2159999999999</v>
      </c>
      <c r="F30" s="688">
        <v>3874.4169999999999</v>
      </c>
      <c r="G30" s="688">
        <v>368.86900000000003</v>
      </c>
      <c r="H30" s="688">
        <v>92.908000000000001</v>
      </c>
      <c r="I30" s="688">
        <v>636.78099999999995</v>
      </c>
      <c r="J30" s="688">
        <v>139.053</v>
      </c>
      <c r="K30" s="688">
        <v>88.671000000000006</v>
      </c>
      <c r="L30" s="689">
        <v>23405.686999999998</v>
      </c>
    </row>
    <row r="31" spans="1:12" ht="15.95" customHeight="1">
      <c r="A31" s="802">
        <v>2014</v>
      </c>
      <c r="B31" s="807">
        <v>9707.4889999999996</v>
      </c>
      <c r="C31" s="807">
        <v>1023.005</v>
      </c>
      <c r="D31" s="807">
        <v>5154.8270000000002</v>
      </c>
      <c r="E31" s="807">
        <v>2535.326</v>
      </c>
      <c r="F31" s="807">
        <v>3982.509</v>
      </c>
      <c r="G31" s="807">
        <v>399.30799999999999</v>
      </c>
      <c r="H31" s="807">
        <v>93.54</v>
      </c>
      <c r="I31" s="807">
        <v>717.29300000000001</v>
      </c>
      <c r="J31" s="807">
        <v>189.68899999999999</v>
      </c>
      <c r="K31" s="807">
        <v>100.614</v>
      </c>
      <c r="L31" s="808">
        <v>23903.600000000006</v>
      </c>
    </row>
    <row r="32" spans="1:12" ht="15.95" customHeight="1">
      <c r="F32" s="466"/>
      <c r="G32" s="466"/>
      <c r="H32" s="466"/>
      <c r="I32" s="466"/>
    </row>
    <row r="33" spans="1:12" ht="15">
      <c r="A33" s="181" t="s">
        <v>421</v>
      </c>
      <c r="B33" s="180"/>
      <c r="C33" s="180"/>
      <c r="D33" s="180"/>
      <c r="E33" s="180"/>
      <c r="F33" s="180"/>
      <c r="G33" s="174"/>
      <c r="H33" s="174"/>
      <c r="I33" s="174"/>
      <c r="J33" s="174"/>
      <c r="K33" s="174"/>
      <c r="L33" s="174"/>
    </row>
    <row r="34" spans="1:12">
      <c r="F34" s="466"/>
      <c r="G34" s="466"/>
      <c r="H34" s="466"/>
      <c r="I34" s="466"/>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tabColor theme="0"/>
  </sheetPr>
  <dimension ref="A1:G44"/>
  <sheetViews>
    <sheetView zoomScaleNormal="100" workbookViewId="0">
      <selection activeCell="C1" sqref="C1"/>
    </sheetView>
  </sheetViews>
  <sheetFormatPr defaultRowHeight="12.75"/>
  <cols>
    <col min="1" max="1" width="20.73046875" style="457" customWidth="1"/>
    <col min="2" max="6" width="9.86328125" style="458" customWidth="1"/>
    <col min="7" max="7" width="9.86328125" style="466" customWidth="1"/>
    <col min="8" max="252" width="9.1328125" style="466"/>
    <col min="253" max="253" width="5.59765625" style="466" customWidth="1"/>
    <col min="254" max="260" width="9.86328125" style="466" customWidth="1"/>
    <col min="261" max="508" width="9.1328125" style="466"/>
    <col min="509" max="509" width="5.59765625" style="466" customWidth="1"/>
    <col min="510" max="516" width="9.86328125" style="466" customWidth="1"/>
    <col min="517" max="764" width="9.1328125" style="466"/>
    <col min="765" max="765" width="5.59765625" style="466" customWidth="1"/>
    <col min="766" max="772" width="9.86328125" style="466" customWidth="1"/>
    <col min="773" max="1020" width="9.1328125" style="466"/>
    <col min="1021" max="1021" width="5.59765625" style="466" customWidth="1"/>
    <col min="1022" max="1028" width="9.86328125" style="466" customWidth="1"/>
    <col min="1029" max="1276" width="9.1328125" style="466"/>
    <col min="1277" max="1277" width="5.59765625" style="466" customWidth="1"/>
    <col min="1278" max="1284" width="9.86328125" style="466" customWidth="1"/>
    <col min="1285" max="1532" width="9.1328125" style="466"/>
    <col min="1533" max="1533" width="5.59765625" style="466" customWidth="1"/>
    <col min="1534" max="1540" width="9.86328125" style="466" customWidth="1"/>
    <col min="1541" max="1788" width="9.1328125" style="466"/>
    <col min="1789" max="1789" width="5.59765625" style="466" customWidth="1"/>
    <col min="1790" max="1796" width="9.86328125" style="466" customWidth="1"/>
    <col min="1797" max="2044" width="9.1328125" style="466"/>
    <col min="2045" max="2045" width="5.59765625" style="466" customWidth="1"/>
    <col min="2046" max="2052" width="9.86328125" style="466" customWidth="1"/>
    <col min="2053" max="2300" width="9.1328125" style="466"/>
    <col min="2301" max="2301" width="5.59765625" style="466" customWidth="1"/>
    <col min="2302" max="2308" width="9.86328125" style="466" customWidth="1"/>
    <col min="2309" max="2556" width="9.1328125" style="466"/>
    <col min="2557" max="2557" width="5.59765625" style="466" customWidth="1"/>
    <col min="2558" max="2564" width="9.86328125" style="466" customWidth="1"/>
    <col min="2565" max="2812" width="9.1328125" style="466"/>
    <col min="2813" max="2813" width="5.59765625" style="466" customWidth="1"/>
    <col min="2814" max="2820" width="9.86328125" style="466" customWidth="1"/>
    <col min="2821" max="3068" width="9.1328125" style="466"/>
    <col min="3069" max="3069" width="5.59765625" style="466" customWidth="1"/>
    <col min="3070" max="3076" width="9.86328125" style="466" customWidth="1"/>
    <col min="3077" max="3324" width="9.1328125" style="466"/>
    <col min="3325" max="3325" width="5.59765625" style="466" customWidth="1"/>
    <col min="3326" max="3332" width="9.86328125" style="466" customWidth="1"/>
    <col min="3333" max="3580" width="9.1328125" style="466"/>
    <col min="3581" max="3581" width="5.59765625" style="466" customWidth="1"/>
    <col min="3582" max="3588" width="9.86328125" style="466" customWidth="1"/>
    <col min="3589" max="3836" width="9.1328125" style="466"/>
    <col min="3837" max="3837" width="5.59765625" style="466" customWidth="1"/>
    <col min="3838" max="3844" width="9.86328125" style="466" customWidth="1"/>
    <col min="3845" max="4092" width="9.1328125" style="466"/>
    <col min="4093" max="4093" width="5.59765625" style="466" customWidth="1"/>
    <col min="4094" max="4100" width="9.86328125" style="466" customWidth="1"/>
    <col min="4101" max="4348" width="9.1328125" style="466"/>
    <col min="4349" max="4349" width="5.59765625" style="466" customWidth="1"/>
    <col min="4350" max="4356" width="9.86328125" style="466" customWidth="1"/>
    <col min="4357" max="4604" width="9.1328125" style="466"/>
    <col min="4605" max="4605" width="5.59765625" style="466" customWidth="1"/>
    <col min="4606" max="4612" width="9.86328125" style="466" customWidth="1"/>
    <col min="4613" max="4860" width="9.1328125" style="466"/>
    <col min="4861" max="4861" width="5.59765625" style="466" customWidth="1"/>
    <col min="4862" max="4868" width="9.86328125" style="466" customWidth="1"/>
    <col min="4869" max="5116" width="9.1328125" style="466"/>
    <col min="5117" max="5117" width="5.59765625" style="466" customWidth="1"/>
    <col min="5118" max="5124" width="9.86328125" style="466" customWidth="1"/>
    <col min="5125" max="5372" width="9.1328125" style="466"/>
    <col min="5373" max="5373" width="5.59765625" style="466" customWidth="1"/>
    <col min="5374" max="5380" width="9.86328125" style="466" customWidth="1"/>
    <col min="5381" max="5628" width="9.1328125" style="466"/>
    <col min="5629" max="5629" width="5.59765625" style="466" customWidth="1"/>
    <col min="5630" max="5636" width="9.86328125" style="466" customWidth="1"/>
    <col min="5637" max="5884" width="9.1328125" style="466"/>
    <col min="5885" max="5885" width="5.59765625" style="466" customWidth="1"/>
    <col min="5886" max="5892" width="9.86328125" style="466" customWidth="1"/>
    <col min="5893" max="6140" width="9.1328125" style="466"/>
    <col min="6141" max="6141" width="5.59765625" style="466" customWidth="1"/>
    <col min="6142" max="6148" width="9.86328125" style="466" customWidth="1"/>
    <col min="6149" max="6396" width="9.1328125" style="466"/>
    <col min="6397" max="6397" width="5.59765625" style="466" customWidth="1"/>
    <col min="6398" max="6404" width="9.86328125" style="466" customWidth="1"/>
    <col min="6405" max="6652" width="9.1328125" style="466"/>
    <col min="6653" max="6653" width="5.59765625" style="466" customWidth="1"/>
    <col min="6654" max="6660" width="9.86328125" style="466" customWidth="1"/>
    <col min="6661" max="6908" width="9.1328125" style="466"/>
    <col min="6909" max="6909" width="5.59765625" style="466" customWidth="1"/>
    <col min="6910" max="6916" width="9.86328125" style="466" customWidth="1"/>
    <col min="6917" max="7164" width="9.1328125" style="466"/>
    <col min="7165" max="7165" width="5.59765625" style="466" customWidth="1"/>
    <col min="7166" max="7172" width="9.86328125" style="466" customWidth="1"/>
    <col min="7173" max="7420" width="9.1328125" style="466"/>
    <col min="7421" max="7421" width="5.59765625" style="466" customWidth="1"/>
    <col min="7422" max="7428" width="9.86328125" style="466" customWidth="1"/>
    <col min="7429" max="7676" width="9.1328125" style="466"/>
    <col min="7677" max="7677" width="5.59765625" style="466" customWidth="1"/>
    <col min="7678" max="7684" width="9.86328125" style="466" customWidth="1"/>
    <col min="7685" max="7932" width="9.1328125" style="466"/>
    <col min="7933" max="7933" width="5.59765625" style="466" customWidth="1"/>
    <col min="7934" max="7940" width="9.86328125" style="466" customWidth="1"/>
    <col min="7941" max="8188" width="9.1328125" style="466"/>
    <col min="8189" max="8189" width="5.59765625" style="466" customWidth="1"/>
    <col min="8190" max="8196" width="9.86328125" style="466" customWidth="1"/>
    <col min="8197" max="8444" width="9.1328125" style="466"/>
    <col min="8445" max="8445" width="5.59765625" style="466" customWidth="1"/>
    <col min="8446" max="8452" width="9.86328125" style="466" customWidth="1"/>
    <col min="8453" max="8700" width="9.1328125" style="466"/>
    <col min="8701" max="8701" width="5.59765625" style="466" customWidth="1"/>
    <col min="8702" max="8708" width="9.86328125" style="466" customWidth="1"/>
    <col min="8709" max="8956" width="9.1328125" style="466"/>
    <col min="8957" max="8957" width="5.59765625" style="466" customWidth="1"/>
    <col min="8958" max="8964" width="9.86328125" style="466" customWidth="1"/>
    <col min="8965" max="9212" width="9.1328125" style="466"/>
    <col min="9213" max="9213" width="5.59765625" style="466" customWidth="1"/>
    <col min="9214" max="9220" width="9.86328125" style="466" customWidth="1"/>
    <col min="9221" max="9468" width="9.1328125" style="466"/>
    <col min="9469" max="9469" width="5.59765625" style="466" customWidth="1"/>
    <col min="9470" max="9476" width="9.86328125" style="466" customWidth="1"/>
    <col min="9477" max="9724" width="9.1328125" style="466"/>
    <col min="9725" max="9725" width="5.59765625" style="466" customWidth="1"/>
    <col min="9726" max="9732" width="9.86328125" style="466" customWidth="1"/>
    <col min="9733" max="9980" width="9.1328125" style="466"/>
    <col min="9981" max="9981" width="5.59765625" style="466" customWidth="1"/>
    <col min="9982" max="9988" width="9.86328125" style="466" customWidth="1"/>
    <col min="9989" max="10236" width="9.1328125" style="466"/>
    <col min="10237" max="10237" width="5.59765625" style="466" customWidth="1"/>
    <col min="10238" max="10244" width="9.86328125" style="466" customWidth="1"/>
    <col min="10245" max="10492" width="9.1328125" style="466"/>
    <col min="10493" max="10493" width="5.59765625" style="466" customWidth="1"/>
    <col min="10494" max="10500" width="9.86328125" style="466" customWidth="1"/>
    <col min="10501" max="10748" width="9.1328125" style="466"/>
    <col min="10749" max="10749" width="5.59765625" style="466" customWidth="1"/>
    <col min="10750" max="10756" width="9.86328125" style="466" customWidth="1"/>
    <col min="10757" max="11004" width="9.1328125" style="466"/>
    <col min="11005" max="11005" width="5.59765625" style="466" customWidth="1"/>
    <col min="11006" max="11012" width="9.86328125" style="466" customWidth="1"/>
    <col min="11013" max="11260" width="9.1328125" style="466"/>
    <col min="11261" max="11261" width="5.59765625" style="466" customWidth="1"/>
    <col min="11262" max="11268" width="9.86328125" style="466" customWidth="1"/>
    <col min="11269" max="11516" width="9.1328125" style="466"/>
    <col min="11517" max="11517" width="5.59765625" style="466" customWidth="1"/>
    <col min="11518" max="11524" width="9.86328125" style="466" customWidth="1"/>
    <col min="11525" max="11772" width="9.1328125" style="466"/>
    <col min="11773" max="11773" width="5.59765625" style="466" customWidth="1"/>
    <col min="11774" max="11780" width="9.86328125" style="466" customWidth="1"/>
    <col min="11781" max="12028" width="9.1328125" style="466"/>
    <col min="12029" max="12029" width="5.59765625" style="466" customWidth="1"/>
    <col min="12030" max="12036" width="9.86328125" style="466" customWidth="1"/>
    <col min="12037" max="12284" width="9.1328125" style="466"/>
    <col min="12285" max="12285" width="5.59765625" style="466" customWidth="1"/>
    <col min="12286" max="12292" width="9.86328125" style="466" customWidth="1"/>
    <col min="12293" max="12540" width="9.1328125" style="466"/>
    <col min="12541" max="12541" width="5.59765625" style="466" customWidth="1"/>
    <col min="12542" max="12548" width="9.86328125" style="466" customWidth="1"/>
    <col min="12549" max="12796" width="9.1328125" style="466"/>
    <col min="12797" max="12797" width="5.59765625" style="466" customWidth="1"/>
    <col min="12798" max="12804" width="9.86328125" style="466" customWidth="1"/>
    <col min="12805" max="13052" width="9.1328125" style="466"/>
    <col min="13053" max="13053" width="5.59765625" style="466" customWidth="1"/>
    <col min="13054" max="13060" width="9.86328125" style="466" customWidth="1"/>
    <col min="13061" max="13308" width="9.1328125" style="466"/>
    <col min="13309" max="13309" width="5.59765625" style="466" customWidth="1"/>
    <col min="13310" max="13316" width="9.86328125" style="466" customWidth="1"/>
    <col min="13317" max="13564" width="9.1328125" style="466"/>
    <col min="13565" max="13565" width="5.59765625" style="466" customWidth="1"/>
    <col min="13566" max="13572" width="9.86328125" style="466" customWidth="1"/>
    <col min="13573" max="13820" width="9.1328125" style="466"/>
    <col min="13821" max="13821" width="5.59765625" style="466" customWidth="1"/>
    <col min="13822" max="13828" width="9.86328125" style="466" customWidth="1"/>
    <col min="13829" max="14076" width="9.1328125" style="466"/>
    <col min="14077" max="14077" width="5.59765625" style="466" customWidth="1"/>
    <col min="14078" max="14084" width="9.86328125" style="466" customWidth="1"/>
    <col min="14085" max="14332" width="9.1328125" style="466"/>
    <col min="14333" max="14333" width="5.59765625" style="466" customWidth="1"/>
    <col min="14334" max="14340" width="9.86328125" style="466" customWidth="1"/>
    <col min="14341" max="14588" width="9.1328125" style="466"/>
    <col min="14589" max="14589" width="5.59765625" style="466" customWidth="1"/>
    <col min="14590" max="14596" width="9.86328125" style="466" customWidth="1"/>
    <col min="14597" max="14844" width="9.1328125" style="466"/>
    <col min="14845" max="14845" width="5.59765625" style="466" customWidth="1"/>
    <col min="14846" max="14852" width="9.86328125" style="466" customWidth="1"/>
    <col min="14853" max="15100" width="9.1328125" style="466"/>
    <col min="15101" max="15101" width="5.59765625" style="466" customWidth="1"/>
    <col min="15102" max="15108" width="9.86328125" style="466" customWidth="1"/>
    <col min="15109" max="15356" width="9.1328125" style="466"/>
    <col min="15357" max="15357" width="5.59765625" style="466" customWidth="1"/>
    <col min="15358" max="15364" width="9.86328125" style="466" customWidth="1"/>
    <col min="15365" max="15612" width="9.1328125" style="466"/>
    <col min="15613" max="15613" width="5.59765625" style="466" customWidth="1"/>
    <col min="15614" max="15620" width="9.86328125" style="466" customWidth="1"/>
    <col min="15621" max="15868" width="9.1328125" style="466"/>
    <col min="15869" max="15869" width="5.59765625" style="466" customWidth="1"/>
    <col min="15870" max="15876" width="9.86328125" style="466" customWidth="1"/>
    <col min="15877" max="16124" width="9.1328125" style="466"/>
    <col min="16125" max="16125" width="5.59765625" style="466" customWidth="1"/>
    <col min="16126" max="16132" width="9.86328125" style="466" customWidth="1"/>
    <col min="16133" max="16384" width="9.1328125" style="466"/>
  </cols>
  <sheetData>
    <row r="1" spans="1:7" ht="13.15">
      <c r="A1" s="524" t="str">
        <f>IF(språk=lista[[#Headers],[Svenska]],"Innehåll",IF(språk=lista[[#Headers],[English]],"Contents","FEL"))</f>
        <v>Contents</v>
      </c>
    </row>
    <row r="3" spans="1:7" ht="15.75">
      <c r="A3" s="455" t="str">
        <f>IFERROR(INDEX(lista[],MATCH($A4,lista[ID],0),MATCH(språk,lista[#Headers],0)),"")</f>
        <v>World production of oil, natural gas and coal 2014, by region, TWh and percent of total</v>
      </c>
      <c r="B3" s="455"/>
      <c r="C3" s="455"/>
      <c r="D3" s="455"/>
      <c r="E3" s="455"/>
      <c r="F3" s="455"/>
      <c r="G3" s="455"/>
    </row>
    <row r="4" spans="1:7" ht="15.75" hidden="1">
      <c r="A4" s="455">
        <v>83</v>
      </c>
      <c r="B4" s="455"/>
      <c r="C4" s="455" t="s">
        <v>647</v>
      </c>
      <c r="D4" s="455" t="s">
        <v>648</v>
      </c>
      <c r="E4" s="455" t="s">
        <v>649</v>
      </c>
      <c r="F4" s="455" t="s">
        <v>650</v>
      </c>
      <c r="G4" s="455" t="s">
        <v>651</v>
      </c>
    </row>
    <row r="6" spans="1:7" ht="15.95" customHeight="1">
      <c r="A6" s="855"/>
      <c r="B6" s="1070" t="str">
        <f>IFERROR(INDEX(_12.5[],MATCH(språk,_12.5[[id]:[id]],0),MATCH(C$4,_12.5[#Headers],0)),"")</f>
        <v>Oil</v>
      </c>
      <c r="C6" s="1070"/>
      <c r="D6" s="1070" t="str">
        <f>IFERROR(INDEX(_12.5[],MATCH(språk,_12.5[[id]:[id]],0),MATCH(D$4,_12.5[#Headers],0)),"")</f>
        <v>Natural gas</v>
      </c>
      <c r="E6" s="1070"/>
      <c r="F6" s="1070" t="str">
        <f>IFERROR(INDEX(_12.5[],MATCH(språk,_12.5[[id]:[id]],0),MATCH(E$4,_12.5[#Headers],0)),"")</f>
        <v>Coal</v>
      </c>
      <c r="G6" s="1070"/>
    </row>
    <row r="7" spans="1:7" ht="15.95" customHeight="1">
      <c r="A7" s="511" t="s">
        <v>128</v>
      </c>
      <c r="B7" s="461" t="str">
        <f>IFERROR(INDEX(_12.5[],MATCH(språk,_12.5[[id]:[id]],0),MATCH(F$4,_12.5[#Headers],0)),"")</f>
        <v>TWh</v>
      </c>
      <c r="C7" s="461" t="str">
        <f>IFERROR(INDEX(_12.5[],MATCH(språk,_12.5[[id]:[id]],0),MATCH(G$4,_12.5[#Headers],0)),"")</f>
        <v>Percent</v>
      </c>
      <c r="D7" s="461" t="str">
        <f>IFERROR(INDEX(_12.5[],MATCH(språk,_12.5[[id]:[id]],0),MATCH(F$4,_12.5[#Headers],0)),"")</f>
        <v>TWh</v>
      </c>
      <c r="E7" s="461" t="str">
        <f>IFERROR(INDEX(_12.5[],MATCH(språk,_12.5[[id]:[id]],0),MATCH(G$4,_12.5[#Headers],0)),"")</f>
        <v>Percent</v>
      </c>
      <c r="F7" s="461" t="str">
        <f>IFERROR(INDEX(_12.5[],MATCH(språk,_12.5[[id]:[id]],0),MATCH(F$4,_12.5[#Headers],0)),"")</f>
        <v>TWh</v>
      </c>
      <c r="G7" s="461" t="str">
        <f>IFERROR(INDEX(_12.5[],MATCH(språk,_12.5[[id]:[id]],0),MATCH(G$4,_12.5[#Headers],0)),"")</f>
        <v>Percent</v>
      </c>
    </row>
    <row r="8" spans="1:7" ht="15.95" customHeight="1">
      <c r="A8" s="840" t="s">
        <v>129</v>
      </c>
      <c r="B8" s="841">
        <v>10586.683245191487</v>
      </c>
      <c r="C8" s="841">
        <v>20.869183161591273</v>
      </c>
      <c r="D8" s="852">
        <v>10471.403514335976</v>
      </c>
      <c r="E8" s="841">
        <v>28.140849564761556</v>
      </c>
      <c r="F8" s="852">
        <v>5748.2500900937512</v>
      </c>
      <c r="G8" s="841">
        <v>12.904569452337658</v>
      </c>
    </row>
    <row r="9" spans="1:7" ht="15.95" customHeight="1">
      <c r="A9" s="465" t="s">
        <v>126</v>
      </c>
      <c r="B9" s="462">
        <v>4605.0294200951112</v>
      </c>
      <c r="C9" s="462">
        <v>9.0777442005863129</v>
      </c>
      <c r="D9" s="853">
        <v>1867.8975262330853</v>
      </c>
      <c r="E9" s="462">
        <v>5.0197877692471637</v>
      </c>
      <c r="F9" s="853">
        <v>713.42374427169466</v>
      </c>
      <c r="G9" s="462">
        <v>1.6016050298101614</v>
      </c>
    </row>
    <row r="10" spans="1:7" ht="15.95" customHeight="1">
      <c r="A10" s="840" t="s">
        <v>118</v>
      </c>
      <c r="B10" s="841">
        <v>2495.3328000000001</v>
      </c>
      <c r="C10" s="841">
        <v>4.9189681079746412</v>
      </c>
      <c r="D10" s="852">
        <v>1444.0505799999999</v>
      </c>
      <c r="E10" s="841">
        <v>3.8807414956411947</v>
      </c>
      <c r="F10" s="852">
        <v>21248.172819999985</v>
      </c>
      <c r="G10" s="841">
        <v>47.701216473427841</v>
      </c>
    </row>
    <row r="11" spans="1:7" ht="15.95" customHeight="1">
      <c r="A11" s="465" t="s">
        <v>63</v>
      </c>
      <c r="B11" s="462">
        <v>6288.6302888300597</v>
      </c>
      <c r="C11" s="462">
        <v>12.396571645112193</v>
      </c>
      <c r="D11" s="853">
        <v>6000.7642680621993</v>
      </c>
      <c r="E11" s="462">
        <v>16.126453756647461</v>
      </c>
      <c r="F11" s="853">
        <v>2145.2946504661568</v>
      </c>
      <c r="G11" s="462">
        <v>4.8160924418334483</v>
      </c>
    </row>
    <row r="12" spans="1:7" ht="15.95" customHeight="1">
      <c r="A12" s="840" t="s">
        <v>125</v>
      </c>
      <c r="B12" s="841">
        <v>16426.394050727955</v>
      </c>
      <c r="C12" s="841">
        <v>32.380814480759909</v>
      </c>
      <c r="D12" s="852">
        <v>6467.6022051319269</v>
      </c>
      <c r="E12" s="841">
        <v>17.381034018043859</v>
      </c>
      <c r="F12" s="852">
        <v>8.1526300000000003</v>
      </c>
      <c r="G12" s="841">
        <v>1.8302296943467834E-2</v>
      </c>
    </row>
    <row r="13" spans="1:7" ht="15.95" customHeight="1">
      <c r="A13" s="465" t="s">
        <v>270</v>
      </c>
      <c r="B13" s="462">
        <v>3531.6256096022971</v>
      </c>
      <c r="C13" s="462">
        <v>6.9617783018522426</v>
      </c>
      <c r="D13" s="853">
        <v>5362.4567598118429</v>
      </c>
      <c r="E13" s="462">
        <v>14.411066173584757</v>
      </c>
      <c r="F13" s="853">
        <v>7506.5864955017923</v>
      </c>
      <c r="G13" s="462">
        <v>16.851957598038837</v>
      </c>
    </row>
    <row r="14" spans="1:7" ht="15.95" customHeight="1">
      <c r="A14" s="840" t="s">
        <v>398</v>
      </c>
      <c r="B14" s="841">
        <v>833.65760331867773</v>
      </c>
      <c r="C14" s="841">
        <v>1.6433620251756198</v>
      </c>
      <c r="D14" s="852">
        <v>1257.0815668492071</v>
      </c>
      <c r="E14" s="841">
        <v>3.3782809739790198</v>
      </c>
      <c r="F14" s="852">
        <v>1689.4033252974036</v>
      </c>
      <c r="G14" s="841">
        <v>3.7926364028387236</v>
      </c>
    </row>
    <row r="15" spans="1:7" ht="15.95" customHeight="1">
      <c r="A15" s="465" t="s">
        <v>127</v>
      </c>
      <c r="B15" s="462">
        <v>4628.6548732045321</v>
      </c>
      <c r="C15" s="462">
        <v>9.1243162852323749</v>
      </c>
      <c r="D15" s="853">
        <v>2216.7813537407751</v>
      </c>
      <c r="E15" s="462">
        <v>5.9573781593062272</v>
      </c>
      <c r="F15" s="853">
        <v>1761.3012353052345</v>
      </c>
      <c r="G15" s="462">
        <v>3.9540440588439694</v>
      </c>
    </row>
    <row r="16" spans="1:7" ht="15.95" customHeight="1">
      <c r="A16" s="840" t="s">
        <v>51</v>
      </c>
      <c r="B16" s="841">
        <v>1332.7780093605081</v>
      </c>
      <c r="C16" s="841">
        <v>2.6272617917154246</v>
      </c>
      <c r="D16" s="852">
        <v>2122.6494520246497</v>
      </c>
      <c r="E16" s="841">
        <v>5.7044080887887612</v>
      </c>
      <c r="F16" s="852">
        <v>3723.7146955014664</v>
      </c>
      <c r="G16" s="841">
        <v>8.3595762459258847</v>
      </c>
    </row>
    <row r="17" spans="1:7" ht="15.95" customHeight="1">
      <c r="A17" s="465" t="s">
        <v>16</v>
      </c>
      <c r="B17" s="463">
        <v>50728.785900330629</v>
      </c>
      <c r="C17" s="463">
        <v>100</v>
      </c>
      <c r="D17" s="854">
        <v>37210.687226189664</v>
      </c>
      <c r="E17" s="463">
        <v>100.00000000000001</v>
      </c>
      <c r="F17" s="854">
        <v>44544.299686437487</v>
      </c>
      <c r="G17" s="463">
        <v>99.999999999999986</v>
      </c>
    </row>
    <row r="18" spans="1:7" ht="15.95" customHeight="1">
      <c r="A18" s="465"/>
      <c r="B18" s="463"/>
      <c r="C18" s="463"/>
      <c r="D18" s="463"/>
      <c r="E18" s="463"/>
      <c r="F18" s="463"/>
      <c r="G18" s="463"/>
    </row>
    <row r="19" spans="1:7" ht="15.95" customHeight="1">
      <c r="A19" s="682" t="s">
        <v>466</v>
      </c>
      <c r="B19" s="467"/>
      <c r="C19" s="467"/>
      <c r="D19" s="467"/>
      <c r="E19" s="467"/>
      <c r="F19" s="467"/>
      <c r="G19" s="467"/>
    </row>
    <row r="20" spans="1:7" ht="13.15">
      <c r="A20" s="467"/>
      <c r="B20" s="467"/>
      <c r="C20" s="467"/>
      <c r="D20" s="467"/>
      <c r="E20" s="467"/>
      <c r="F20" s="467"/>
      <c r="G20" s="467"/>
    </row>
    <row r="21" spans="1:7">
      <c r="A21" s="466"/>
      <c r="B21" s="466"/>
      <c r="C21" s="466"/>
      <c r="D21" s="466"/>
      <c r="E21" s="466"/>
      <c r="F21" s="466"/>
    </row>
    <row r="22" spans="1:7">
      <c r="A22" s="466"/>
      <c r="B22" s="466"/>
      <c r="C22" s="466"/>
      <c r="D22" s="466"/>
      <c r="E22" s="466"/>
      <c r="F22" s="466"/>
    </row>
    <row r="23" spans="1:7">
      <c r="A23" s="466"/>
      <c r="B23" s="466"/>
      <c r="C23" s="466"/>
      <c r="D23" s="466"/>
      <c r="E23" s="466"/>
      <c r="F23" s="466"/>
    </row>
    <row r="24" spans="1:7">
      <c r="A24" s="466"/>
      <c r="B24" s="466"/>
      <c r="C24" s="466"/>
      <c r="D24" s="466"/>
      <c r="E24" s="466"/>
      <c r="F24" s="466"/>
    </row>
    <row r="25" spans="1:7">
      <c r="A25" s="466"/>
      <c r="B25" s="466"/>
      <c r="C25" s="466"/>
      <c r="D25" s="466"/>
      <c r="E25" s="466"/>
      <c r="F25" s="466"/>
    </row>
    <row r="26" spans="1:7">
      <c r="A26" s="466"/>
      <c r="B26" s="466"/>
      <c r="C26" s="466"/>
      <c r="D26" s="466"/>
      <c r="E26" s="466"/>
      <c r="F26" s="466"/>
    </row>
    <row r="27" spans="1:7">
      <c r="A27" s="466"/>
      <c r="B27" s="466"/>
      <c r="C27" s="466"/>
      <c r="D27" s="466"/>
      <c r="E27" s="466"/>
      <c r="F27" s="466"/>
    </row>
    <row r="28" spans="1:7">
      <c r="A28" s="466"/>
      <c r="B28" s="466"/>
      <c r="C28" s="466"/>
      <c r="D28" s="466"/>
      <c r="E28" s="466"/>
      <c r="F28" s="466"/>
    </row>
    <row r="29" spans="1:7">
      <c r="A29" s="466"/>
      <c r="B29" s="466"/>
      <c r="C29" s="466"/>
      <c r="D29" s="466"/>
      <c r="E29" s="466"/>
      <c r="F29" s="466"/>
    </row>
    <row r="30" spans="1:7">
      <c r="A30" s="466"/>
      <c r="B30" s="466"/>
      <c r="C30" s="466"/>
      <c r="D30" s="466"/>
      <c r="E30" s="466"/>
      <c r="F30" s="466"/>
    </row>
    <row r="31" spans="1:7">
      <c r="A31" s="466"/>
      <c r="B31" s="466"/>
      <c r="C31" s="466"/>
      <c r="D31" s="466"/>
      <c r="E31" s="466"/>
      <c r="F31" s="466"/>
    </row>
    <row r="32" spans="1:7">
      <c r="A32" s="466"/>
      <c r="B32" s="466"/>
      <c r="C32" s="466"/>
      <c r="D32" s="466"/>
      <c r="E32" s="466"/>
      <c r="F32" s="466"/>
    </row>
    <row r="33" spans="1:6">
      <c r="A33" s="466"/>
      <c r="B33" s="466"/>
      <c r="C33" s="466"/>
      <c r="D33" s="466"/>
      <c r="E33" s="466"/>
      <c r="F33" s="466"/>
    </row>
    <row r="34" spans="1:6" ht="15" customHeight="1">
      <c r="A34" s="466"/>
      <c r="B34" s="466"/>
      <c r="C34" s="466"/>
      <c r="D34" s="466"/>
      <c r="E34" s="466"/>
      <c r="F34" s="466"/>
    </row>
    <row r="35" spans="1:6">
      <c r="A35" s="466"/>
      <c r="B35" s="466"/>
      <c r="C35" s="466"/>
      <c r="D35" s="466"/>
      <c r="E35" s="466"/>
      <c r="F35" s="466"/>
    </row>
    <row r="36" spans="1:6">
      <c r="A36" s="466"/>
      <c r="B36" s="466"/>
      <c r="C36" s="466"/>
      <c r="D36" s="466"/>
      <c r="E36" s="466"/>
      <c r="F36" s="466"/>
    </row>
    <row r="37" spans="1:6">
      <c r="A37" s="466"/>
      <c r="B37" s="466"/>
      <c r="C37" s="466"/>
      <c r="D37" s="466"/>
      <c r="E37" s="466"/>
      <c r="F37" s="466"/>
    </row>
    <row r="38" spans="1:6">
      <c r="A38" s="466"/>
      <c r="B38" s="466"/>
      <c r="C38" s="466"/>
      <c r="D38" s="466"/>
      <c r="E38" s="466"/>
      <c r="F38" s="466"/>
    </row>
    <row r="39" spans="1:6">
      <c r="A39" s="466"/>
      <c r="B39" s="466"/>
      <c r="C39" s="466"/>
      <c r="D39" s="466"/>
      <c r="E39" s="466"/>
      <c r="F39" s="466"/>
    </row>
    <row r="40" spans="1:6">
      <c r="A40" s="466"/>
      <c r="B40" s="466"/>
      <c r="C40" s="466"/>
      <c r="D40" s="466"/>
      <c r="E40" s="466"/>
      <c r="F40" s="466"/>
    </row>
    <row r="41" spans="1:6">
      <c r="A41" s="466"/>
      <c r="B41" s="466"/>
      <c r="C41" s="466"/>
      <c r="D41" s="466"/>
      <c r="E41" s="466"/>
      <c r="F41" s="466"/>
    </row>
    <row r="42" spans="1:6">
      <c r="A42" s="466"/>
      <c r="B42" s="466"/>
      <c r="C42" s="466"/>
      <c r="D42" s="466"/>
      <c r="E42" s="466"/>
      <c r="F42" s="466"/>
    </row>
    <row r="43" spans="1:6">
      <c r="A43" s="466"/>
      <c r="B43" s="466"/>
      <c r="C43" s="466"/>
      <c r="D43" s="466"/>
      <c r="E43" s="466"/>
      <c r="F43" s="466"/>
    </row>
    <row r="44" spans="1:6">
      <c r="A44" s="466"/>
      <c r="B44" s="466"/>
      <c r="C44" s="466"/>
      <c r="D44" s="466"/>
      <c r="E44" s="466"/>
      <c r="F44" s="466"/>
    </row>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0"/>
  </sheetPr>
  <dimension ref="A1:I58"/>
  <sheetViews>
    <sheetView zoomScaleNormal="100" workbookViewId="0">
      <pane ySplit="6" topLeftCell="A35" activePane="bottomLeft" state="frozen"/>
      <selection pane="bottomLeft" activeCell="B1" sqref="B1"/>
    </sheetView>
  </sheetViews>
  <sheetFormatPr defaultColWidth="8.86328125" defaultRowHeight="13.15"/>
  <cols>
    <col min="1" max="1" width="9.3984375" style="318" customWidth="1"/>
    <col min="2" max="2" width="9.59765625" style="32" bestFit="1" customWidth="1"/>
    <col min="3" max="3" width="19.59765625" style="32" customWidth="1"/>
    <col min="4" max="4" width="9.3984375" style="32" customWidth="1"/>
    <col min="5" max="5" width="11.265625" style="32" customWidth="1"/>
    <col min="6" max="6" width="11" style="32" customWidth="1"/>
    <col min="7" max="7" width="9.73046875" style="4" bestFit="1" customWidth="1"/>
    <col min="8" max="8" width="9.73046875" style="4" customWidth="1"/>
    <col min="9" max="9" width="9.265625" style="4" customWidth="1"/>
    <col min="10" max="16384" width="8.86328125" style="4"/>
  </cols>
  <sheetData>
    <row r="1" spans="1:9" ht="15.95" customHeight="1">
      <c r="A1" s="524" t="str">
        <f>IF(språk=lista[[#Headers],[Svenska]],"Innehåll",IF(språk=lista[[#Headers],[English]],"Contents","FEL"))</f>
        <v>Contents</v>
      </c>
    </row>
    <row r="2" spans="1:9" ht="15.95" customHeight="1"/>
    <row r="3" spans="1:9" ht="15.95" customHeight="1">
      <c r="A3" s="31" t="str">
        <f>IFERROR(INDEX(lista[],MATCH($A5,lista[ID],0),MATCH(språk,lista[#Headers],0)),"")</f>
        <v>Total final energy use, by energy carrier, from 1970, TWh</v>
      </c>
    </row>
    <row r="4" spans="1:9" ht="15.95" customHeight="1">
      <c r="A4" s="31"/>
    </row>
    <row r="5" spans="1:9" ht="15.95" hidden="1" customHeight="1">
      <c r="A5" s="31">
        <v>11</v>
      </c>
      <c r="B5" s="32" t="s">
        <v>647</v>
      </c>
      <c r="C5" s="32" t="s">
        <v>648</v>
      </c>
      <c r="D5" s="32" t="s">
        <v>649</v>
      </c>
      <c r="E5" s="32" t="s">
        <v>650</v>
      </c>
      <c r="F5" s="32" t="s">
        <v>651</v>
      </c>
      <c r="G5" s="4" t="s">
        <v>652</v>
      </c>
      <c r="H5" s="4" t="s">
        <v>653</v>
      </c>
    </row>
    <row r="6" spans="1:9" ht="39" customHeight="1">
      <c r="A6" s="33"/>
      <c r="B6" s="34" t="str">
        <f>IFERROR(INDEX(_2.1[],MATCH(språk,_2.1[[id]:[id]],0),MATCH(B$5,_2.1[#Headers],0)),"")</f>
        <v>Biomass</v>
      </c>
      <c r="C6" s="34" t="str">
        <f>IFERROR(INDEX(_2.1[],MATCH(språk,_2.1[[id]:[id]],0),MATCH(C$5,_2.1[#Headers],0)),"")</f>
        <v>Coal and coke, incl. coke oven and blast furnace gases</v>
      </c>
      <c r="D6" s="34" t="str">
        <f>IFERROR(INDEX(_2.1[],MATCH(språk,_2.1[[id]:[id]],0),MATCH(D$5,_2.1[#Headers],0)),"")</f>
        <v>Petroleum products</v>
      </c>
      <c r="E6" s="34" t="str">
        <f>IFERROR(INDEX(_2.1[],MATCH(språk,_2.1[[id]:[id]],0),MATCH(E$5,_2.1[#Headers],0)),"")</f>
        <v>Natural gas, gasworks gas</v>
      </c>
      <c r="F6" s="34" t="str">
        <f>IFERROR(INDEX(_2.1[],MATCH(språk,_2.1[[id]:[id]],0),MATCH(F$5,_2.1[#Headers],0)),"")</f>
        <v>Other fuels</v>
      </c>
      <c r="G6" s="34" t="str">
        <f>IFERROR(INDEX(_2.1[],MATCH(språk,_2.1[[id]:[id]],0),MATCH(G$5,_2.1[#Headers],0)),"")</f>
        <v>District heating</v>
      </c>
      <c r="H6" s="34" t="str">
        <f>IFERROR(INDEX(_2.1[],MATCH(språk,_2.1[[id]:[id]],0),MATCH(H$5,_2.1[#Headers],0)),"")</f>
        <v>Electricity</v>
      </c>
      <c r="I6" s="595" t="str">
        <f>IF(språk=lista[[#Headers],[Svenska]],"Totalt",IF(språk=lista[[#Headers],[English]],"Total","FEL"))</f>
        <v>Total</v>
      </c>
    </row>
    <row r="7" spans="1:9" ht="15.95" customHeight="1">
      <c r="A7" s="744">
        <v>1970</v>
      </c>
      <c r="B7" s="745">
        <v>44.800000000000004</v>
      </c>
      <c r="C7" s="745">
        <v>14.2</v>
      </c>
      <c r="D7" s="745">
        <v>247.10000000000002</v>
      </c>
      <c r="E7" s="745">
        <v>0</v>
      </c>
      <c r="F7" s="745"/>
      <c r="G7" s="745">
        <v>12.1</v>
      </c>
      <c r="H7" s="745">
        <v>57.1</v>
      </c>
      <c r="I7" s="746">
        <v>375.30000000000007</v>
      </c>
    </row>
    <row r="8" spans="1:9" ht="15.95" customHeight="1">
      <c r="A8" s="36">
        <v>1971</v>
      </c>
      <c r="B8" s="37">
        <v>40.1</v>
      </c>
      <c r="C8" s="37">
        <v>14.7</v>
      </c>
      <c r="D8" s="37">
        <v>238.10000000000002</v>
      </c>
      <c r="E8" s="37">
        <v>0</v>
      </c>
      <c r="F8" s="37"/>
      <c r="G8" s="37">
        <v>12.8</v>
      </c>
      <c r="H8" s="37">
        <v>60.1</v>
      </c>
      <c r="I8" s="38">
        <v>365.80000000000007</v>
      </c>
    </row>
    <row r="9" spans="1:9" ht="15.95" customHeight="1">
      <c r="A9" s="744">
        <v>1972</v>
      </c>
      <c r="B9" s="745">
        <v>40</v>
      </c>
      <c r="C9" s="745">
        <v>14</v>
      </c>
      <c r="D9" s="745">
        <v>239.00000000000003</v>
      </c>
      <c r="E9" s="745">
        <v>0</v>
      </c>
      <c r="F9" s="745"/>
      <c r="G9" s="745">
        <v>14</v>
      </c>
      <c r="H9" s="745">
        <v>64.099999999999994</v>
      </c>
      <c r="I9" s="746">
        <v>371.1</v>
      </c>
    </row>
    <row r="10" spans="1:9" ht="15.95" customHeight="1">
      <c r="A10" s="36">
        <v>1973</v>
      </c>
      <c r="B10" s="37">
        <v>40.900000000000006</v>
      </c>
      <c r="C10" s="37">
        <v>16</v>
      </c>
      <c r="D10" s="37">
        <v>248.4</v>
      </c>
      <c r="E10" s="37">
        <v>0</v>
      </c>
      <c r="F10" s="37"/>
      <c r="G10" s="37">
        <v>15.9</v>
      </c>
      <c r="H10" s="37">
        <v>69</v>
      </c>
      <c r="I10" s="38">
        <v>390.2</v>
      </c>
    </row>
    <row r="11" spans="1:9" ht="15.95" customHeight="1">
      <c r="A11" s="744">
        <v>1974</v>
      </c>
      <c r="B11" s="745">
        <v>42.4</v>
      </c>
      <c r="C11" s="745">
        <v>17.399999999999999</v>
      </c>
      <c r="D11" s="745">
        <v>216.9</v>
      </c>
      <c r="E11" s="745">
        <v>0</v>
      </c>
      <c r="F11" s="745"/>
      <c r="G11" s="745">
        <v>15.7</v>
      </c>
      <c r="H11" s="745">
        <v>69.5</v>
      </c>
      <c r="I11" s="746">
        <v>361.9</v>
      </c>
    </row>
    <row r="12" spans="1:9" ht="15.95" customHeight="1">
      <c r="A12" s="36">
        <v>1975</v>
      </c>
      <c r="B12" s="37">
        <v>42.2</v>
      </c>
      <c r="C12" s="37">
        <v>18.899999999999999</v>
      </c>
      <c r="D12" s="37">
        <v>223.3</v>
      </c>
      <c r="E12" s="37">
        <v>0</v>
      </c>
      <c r="F12" s="37"/>
      <c r="G12" s="37">
        <v>17.900000000000002</v>
      </c>
      <c r="H12" s="37">
        <v>71.599999999999994</v>
      </c>
      <c r="I12" s="38">
        <v>373.9</v>
      </c>
    </row>
    <row r="13" spans="1:9" ht="15.95" customHeight="1">
      <c r="A13" s="744">
        <v>1976</v>
      </c>
      <c r="B13" s="745">
        <v>40.9</v>
      </c>
      <c r="C13" s="745">
        <v>17.3</v>
      </c>
      <c r="D13" s="745">
        <v>234.89999999999998</v>
      </c>
      <c r="E13" s="745">
        <v>0</v>
      </c>
      <c r="F13" s="745"/>
      <c r="G13" s="745">
        <v>21.7</v>
      </c>
      <c r="H13" s="745">
        <v>77.199999999999989</v>
      </c>
      <c r="I13" s="746">
        <v>391.99999999999994</v>
      </c>
    </row>
    <row r="14" spans="1:9" ht="15.95" customHeight="1">
      <c r="A14" s="36">
        <v>1977</v>
      </c>
      <c r="B14" s="37">
        <v>39.1</v>
      </c>
      <c r="C14" s="37">
        <v>13.9</v>
      </c>
      <c r="D14" s="37">
        <v>226.60000000000002</v>
      </c>
      <c r="E14" s="37">
        <v>0</v>
      </c>
      <c r="F14" s="37"/>
      <c r="G14" s="37">
        <v>23.2</v>
      </c>
      <c r="H14" s="37">
        <v>77.900000000000006</v>
      </c>
      <c r="I14" s="38">
        <v>380.7</v>
      </c>
    </row>
    <row r="15" spans="1:9" ht="15.95" customHeight="1">
      <c r="A15" s="744">
        <v>1978</v>
      </c>
      <c r="B15" s="745">
        <v>42.5</v>
      </c>
      <c r="C15" s="745">
        <v>14.8</v>
      </c>
      <c r="D15" s="745">
        <v>224.3</v>
      </c>
      <c r="E15" s="745">
        <v>0</v>
      </c>
      <c r="F15" s="745"/>
      <c r="G15" s="745">
        <v>25.099999999999998</v>
      </c>
      <c r="H15" s="745">
        <v>80.8</v>
      </c>
      <c r="I15" s="746">
        <v>387.50000000000006</v>
      </c>
    </row>
    <row r="16" spans="1:9" ht="15.95" customHeight="1">
      <c r="A16" s="36">
        <v>1979</v>
      </c>
      <c r="B16" s="37">
        <v>44.7</v>
      </c>
      <c r="C16" s="37">
        <v>16.600000000000001</v>
      </c>
      <c r="D16" s="37">
        <v>228</v>
      </c>
      <c r="E16" s="37">
        <v>0</v>
      </c>
      <c r="F16" s="37"/>
      <c r="G16" s="37">
        <v>26.400000000000002</v>
      </c>
      <c r="H16" s="37">
        <v>85.3</v>
      </c>
      <c r="I16" s="38">
        <v>401</v>
      </c>
    </row>
    <row r="17" spans="1:9" ht="15.95" customHeight="1">
      <c r="A17" s="744">
        <v>1980</v>
      </c>
      <c r="B17" s="745">
        <v>45</v>
      </c>
      <c r="C17" s="745">
        <v>14.8</v>
      </c>
      <c r="D17" s="745">
        <v>207.89999999999998</v>
      </c>
      <c r="E17" s="745">
        <v>0</v>
      </c>
      <c r="F17" s="745"/>
      <c r="G17" s="745">
        <v>27.8</v>
      </c>
      <c r="H17" s="745">
        <v>85.1</v>
      </c>
      <c r="I17" s="746">
        <v>380.59999999999997</v>
      </c>
    </row>
    <row r="18" spans="1:9" ht="15.95" customHeight="1">
      <c r="A18" s="36">
        <v>1981</v>
      </c>
      <c r="B18" s="37">
        <v>46.1</v>
      </c>
      <c r="C18" s="37">
        <v>12.4</v>
      </c>
      <c r="D18" s="37">
        <v>192.7</v>
      </c>
      <c r="E18" s="37">
        <v>0</v>
      </c>
      <c r="F18" s="37"/>
      <c r="G18" s="37">
        <v>28.4</v>
      </c>
      <c r="H18" s="37">
        <v>86.999999999999986</v>
      </c>
      <c r="I18" s="38">
        <v>366.59999999999997</v>
      </c>
    </row>
    <row r="19" spans="1:9" ht="15.95" customHeight="1">
      <c r="A19" s="744">
        <v>1982</v>
      </c>
      <c r="B19" s="745">
        <v>43.599999999999994</v>
      </c>
      <c r="C19" s="745">
        <v>12.8</v>
      </c>
      <c r="D19" s="745">
        <v>174.6</v>
      </c>
      <c r="E19" s="745">
        <v>0</v>
      </c>
      <c r="F19" s="745"/>
      <c r="G19" s="745">
        <v>28.3</v>
      </c>
      <c r="H19" s="745">
        <v>89.600000000000009</v>
      </c>
      <c r="I19" s="746">
        <v>348.90000000000003</v>
      </c>
    </row>
    <row r="20" spans="1:9" ht="15.95" customHeight="1">
      <c r="A20" s="36">
        <v>1983</v>
      </c>
      <c r="B20" s="37">
        <v>47.421214444444445</v>
      </c>
      <c r="C20" s="37">
        <v>13.927222222222223</v>
      </c>
      <c r="D20" s="37">
        <v>159.04027777777776</v>
      </c>
      <c r="E20" s="37">
        <v>0.65138888888888891</v>
      </c>
      <c r="F20" s="37">
        <v>0</v>
      </c>
      <c r="G20" s="37">
        <v>28.6</v>
      </c>
      <c r="H20" s="37">
        <v>95.698833333333326</v>
      </c>
      <c r="I20" s="38">
        <v>345.33893666666665</v>
      </c>
    </row>
    <row r="21" spans="1:9" ht="15.95" customHeight="1">
      <c r="A21" s="744">
        <v>1984</v>
      </c>
      <c r="B21" s="745">
        <v>52.134967777777781</v>
      </c>
      <c r="C21" s="745">
        <v>15.217499999999999</v>
      </c>
      <c r="D21" s="745">
        <v>154.49222222222221</v>
      </c>
      <c r="E21" s="745">
        <v>0.5675</v>
      </c>
      <c r="F21" s="745">
        <v>0</v>
      </c>
      <c r="G21" s="745">
        <v>29.9</v>
      </c>
      <c r="H21" s="745">
        <v>102.56694444444443</v>
      </c>
      <c r="I21" s="746">
        <v>354.87913444444439</v>
      </c>
    </row>
    <row r="22" spans="1:9" ht="15.95" customHeight="1">
      <c r="A22" s="36">
        <v>1985</v>
      </c>
      <c r="B22" s="37">
        <v>54.535613333333345</v>
      </c>
      <c r="C22" s="37">
        <v>16.093611111111109</v>
      </c>
      <c r="D22" s="37">
        <v>153.41055555555556</v>
      </c>
      <c r="E22" s="37">
        <v>1.3002777777777779</v>
      </c>
      <c r="F22" s="37">
        <v>0</v>
      </c>
      <c r="G22" s="37">
        <v>37.299999999999997</v>
      </c>
      <c r="H22" s="37">
        <v>113.536</v>
      </c>
      <c r="I22" s="38">
        <v>376.17605777777777</v>
      </c>
    </row>
    <row r="23" spans="1:9" ht="15.95" customHeight="1">
      <c r="A23" s="744">
        <v>1986</v>
      </c>
      <c r="B23" s="745">
        <v>54.109785555555561</v>
      </c>
      <c r="C23" s="745">
        <v>15.979444444444443</v>
      </c>
      <c r="D23" s="745">
        <v>149.55222222222221</v>
      </c>
      <c r="E23" s="745">
        <v>2.4291666666666667</v>
      </c>
      <c r="F23" s="745">
        <v>0</v>
      </c>
      <c r="G23" s="745">
        <v>36.6</v>
      </c>
      <c r="H23" s="745">
        <v>114.06605555555555</v>
      </c>
      <c r="I23" s="746">
        <v>372.73667444444447</v>
      </c>
    </row>
    <row r="24" spans="1:9" ht="15.95" customHeight="1">
      <c r="A24" s="36">
        <v>1987</v>
      </c>
      <c r="B24" s="37">
        <v>53.93994444444445</v>
      </c>
      <c r="C24" s="37">
        <v>15.798888888888889</v>
      </c>
      <c r="D24" s="37">
        <v>153.74638888888887</v>
      </c>
      <c r="E24" s="37">
        <v>2.9491666666666667</v>
      </c>
      <c r="F24" s="37">
        <v>0</v>
      </c>
      <c r="G24" s="37">
        <v>39.299999999999997</v>
      </c>
      <c r="H24" s="37">
        <v>119.39705555555557</v>
      </c>
      <c r="I24" s="38">
        <v>385.13144444444441</v>
      </c>
    </row>
    <row r="25" spans="1:9" ht="15.95" customHeight="1">
      <c r="A25" s="744">
        <v>1988</v>
      </c>
      <c r="B25" s="745">
        <v>54.847085555555552</v>
      </c>
      <c r="C25" s="745">
        <v>16.541944444444447</v>
      </c>
      <c r="D25" s="745">
        <v>151.49194444444444</v>
      </c>
      <c r="E25" s="745">
        <v>3.3469444444444445</v>
      </c>
      <c r="F25" s="745">
        <v>0</v>
      </c>
      <c r="G25" s="745">
        <v>36.146999999999998</v>
      </c>
      <c r="H25" s="745">
        <v>119.94616666666666</v>
      </c>
      <c r="I25" s="746">
        <v>382.3210855555555</v>
      </c>
    </row>
    <row r="26" spans="1:9" ht="15.95" customHeight="1">
      <c r="A26" s="36">
        <v>1989</v>
      </c>
      <c r="B26" s="37">
        <v>54.347305555555565</v>
      </c>
      <c r="C26" s="37">
        <v>16.805277777777778</v>
      </c>
      <c r="D26" s="37">
        <v>147.60388888888889</v>
      </c>
      <c r="E26" s="37">
        <v>3.91</v>
      </c>
      <c r="F26" s="37">
        <v>0</v>
      </c>
      <c r="G26" s="37">
        <v>33.251944444444447</v>
      </c>
      <c r="H26" s="37">
        <v>119.8291111111111</v>
      </c>
      <c r="I26" s="38">
        <v>375.7475277777778</v>
      </c>
    </row>
    <row r="27" spans="1:9" ht="15.95" customHeight="1">
      <c r="A27" s="744">
        <v>1990</v>
      </c>
      <c r="B27" s="745">
        <v>53.818408355555555</v>
      </c>
      <c r="C27" s="745">
        <v>17.368055555555554</v>
      </c>
      <c r="D27" s="745">
        <v>136.04573662978109</v>
      </c>
      <c r="E27" s="745">
        <v>4.4961111111111114</v>
      </c>
      <c r="F27" s="745">
        <v>0.1214172</v>
      </c>
      <c r="G27" s="745">
        <v>34.288055555555552</v>
      </c>
      <c r="H27" s="745">
        <v>120.47494444444443</v>
      </c>
      <c r="I27" s="746">
        <v>366.61272885200327</v>
      </c>
    </row>
    <row r="28" spans="1:9" ht="15.95" customHeight="1">
      <c r="A28" s="36">
        <v>1991</v>
      </c>
      <c r="B28" s="37">
        <v>55.462882278888884</v>
      </c>
      <c r="C28" s="37">
        <v>15.415277777777778</v>
      </c>
      <c r="D28" s="37">
        <v>131.79037701976432</v>
      </c>
      <c r="E28" s="37">
        <v>4.5166666666666666</v>
      </c>
      <c r="F28" s="37">
        <v>8.1956609999999999E-2</v>
      </c>
      <c r="G28" s="37">
        <v>37.895055555555558</v>
      </c>
      <c r="H28" s="37">
        <v>122.01605555555557</v>
      </c>
      <c r="I28" s="38">
        <v>367.17827146420882</v>
      </c>
    </row>
    <row r="29" spans="1:9" ht="15.95" customHeight="1">
      <c r="A29" s="744">
        <v>1992</v>
      </c>
      <c r="B29" s="745">
        <v>55.300608888888888</v>
      </c>
      <c r="C29" s="745">
        <v>14.697499999999998</v>
      </c>
      <c r="D29" s="745">
        <v>129.56291809198657</v>
      </c>
      <c r="E29" s="745">
        <v>4.6958333333333337</v>
      </c>
      <c r="F29" s="745">
        <v>0.12793000000000002</v>
      </c>
      <c r="G29" s="745">
        <v>37.502944444444445</v>
      </c>
      <c r="H29" s="745">
        <v>119.9801111111111</v>
      </c>
      <c r="I29" s="746">
        <v>361.86784586976432</v>
      </c>
    </row>
    <row r="30" spans="1:9" ht="15.95" customHeight="1">
      <c r="A30" s="36">
        <v>1993</v>
      </c>
      <c r="B30" s="37">
        <v>56.724643804444447</v>
      </c>
      <c r="C30" s="37">
        <v>14.807499999999999</v>
      </c>
      <c r="D30" s="37">
        <v>127.93513314982614</v>
      </c>
      <c r="E30" s="37">
        <v>4.3972222222222221</v>
      </c>
      <c r="F30" s="37">
        <v>0.16896064000000002</v>
      </c>
      <c r="G30" s="37">
        <v>40.156111111111109</v>
      </c>
      <c r="H30" s="37">
        <v>121.119</v>
      </c>
      <c r="I30" s="38">
        <v>365.30857092760391</v>
      </c>
    </row>
    <row r="31" spans="1:9" ht="15.95" customHeight="1">
      <c r="A31" s="744">
        <v>1994</v>
      </c>
      <c r="B31" s="745">
        <v>56.99599607555556</v>
      </c>
      <c r="C31" s="745">
        <v>15.192777777777778</v>
      </c>
      <c r="D31" s="745">
        <v>131.98738910457007</v>
      </c>
      <c r="E31" s="745">
        <v>4.4155555555555548</v>
      </c>
      <c r="F31" s="745">
        <v>0.14183948000000002</v>
      </c>
      <c r="G31" s="745">
        <v>40.472166666666666</v>
      </c>
      <c r="H31" s="745">
        <v>122.45716666666667</v>
      </c>
      <c r="I31" s="746">
        <v>371.66289132679231</v>
      </c>
    </row>
    <row r="32" spans="1:9" ht="15.95" customHeight="1">
      <c r="A32" s="36">
        <v>1995</v>
      </c>
      <c r="B32" s="37">
        <v>60.231408888888893</v>
      </c>
      <c r="C32" s="37">
        <v>15.8125</v>
      </c>
      <c r="D32" s="37">
        <v>132.93132599768526</v>
      </c>
      <c r="E32" s="37">
        <v>4.684166666666667</v>
      </c>
      <c r="F32" s="37">
        <v>0.17445000000000002</v>
      </c>
      <c r="G32" s="37">
        <v>41.170888888888889</v>
      </c>
      <c r="H32" s="37">
        <v>124.48911111111113</v>
      </c>
      <c r="I32" s="38">
        <v>379.49385155324086</v>
      </c>
    </row>
    <row r="33" spans="1:9" ht="15.95" customHeight="1">
      <c r="A33" s="744">
        <v>1996</v>
      </c>
      <c r="B33" s="745">
        <v>60.16283816666666</v>
      </c>
      <c r="C33" s="745">
        <v>16.010833333333331</v>
      </c>
      <c r="D33" s="745">
        <v>134.34006491216709</v>
      </c>
      <c r="E33" s="745">
        <v>5.0947222222222219</v>
      </c>
      <c r="F33" s="745">
        <v>0.12793000000000002</v>
      </c>
      <c r="G33" s="745">
        <v>45.412944444444449</v>
      </c>
      <c r="H33" s="745">
        <v>126.16</v>
      </c>
      <c r="I33" s="746">
        <v>387.30933307883379</v>
      </c>
    </row>
    <row r="34" spans="1:9" ht="15.95" customHeight="1">
      <c r="A34" s="36">
        <v>1997</v>
      </c>
      <c r="B34" s="37">
        <v>62.45202066666667</v>
      </c>
      <c r="C34" s="37">
        <v>15.361111111111109</v>
      </c>
      <c r="D34" s="37">
        <v>132.34117881822658</v>
      </c>
      <c r="E34" s="37">
        <v>5.0608333333333331</v>
      </c>
      <c r="F34" s="37">
        <v>8.141000000000001E-2</v>
      </c>
      <c r="G34" s="37">
        <v>41.875888888888888</v>
      </c>
      <c r="H34" s="37">
        <v>125.18983333333333</v>
      </c>
      <c r="I34" s="38">
        <v>382.36227615155997</v>
      </c>
    </row>
    <row r="35" spans="1:9" ht="15.95" customHeight="1">
      <c r="A35" s="744">
        <v>1998</v>
      </c>
      <c r="B35" s="745">
        <v>61.218259426503337</v>
      </c>
      <c r="C35" s="745">
        <v>15.028888888888888</v>
      </c>
      <c r="D35" s="745">
        <v>132.60760123964894</v>
      </c>
      <c r="E35" s="745">
        <v>5.2074999999999996</v>
      </c>
      <c r="F35" s="745">
        <v>1.5302875068300004</v>
      </c>
      <c r="G35" s="745">
        <v>43.161944444444437</v>
      </c>
      <c r="H35" s="745">
        <v>126.56561111111111</v>
      </c>
      <c r="I35" s="746">
        <v>385.32009261742678</v>
      </c>
    </row>
    <row r="36" spans="1:9" ht="15.95" customHeight="1">
      <c r="A36" s="36">
        <v>1999</v>
      </c>
      <c r="B36" s="37">
        <v>62.291156377847557</v>
      </c>
      <c r="C36" s="37">
        <v>14.567500000000001</v>
      </c>
      <c r="D36" s="37">
        <v>131.51960528770385</v>
      </c>
      <c r="E36" s="37">
        <v>5.6041666666666661</v>
      </c>
      <c r="F36" s="37">
        <v>0.29955285548578908</v>
      </c>
      <c r="G36" s="37">
        <v>43.431944444444447</v>
      </c>
      <c r="H36" s="37">
        <v>126.61283333333333</v>
      </c>
      <c r="I36" s="38">
        <v>384.32675896548164</v>
      </c>
    </row>
    <row r="37" spans="1:9" ht="15.95" customHeight="1">
      <c r="A37" s="744">
        <v>2000</v>
      </c>
      <c r="B37" s="745">
        <v>62.133426555555559</v>
      </c>
      <c r="C37" s="745">
        <v>15.629722222222222</v>
      </c>
      <c r="D37" s="745">
        <v>127.43560249168152</v>
      </c>
      <c r="E37" s="745">
        <v>5.3636111111111111</v>
      </c>
      <c r="F37" s="745">
        <v>6.2801999999999997E-2</v>
      </c>
      <c r="G37" s="745">
        <v>41.350777777777772</v>
      </c>
      <c r="H37" s="745">
        <v>129.03566666666666</v>
      </c>
      <c r="I37" s="746">
        <v>381.01160882501483</v>
      </c>
    </row>
    <row r="38" spans="1:9" ht="15.95" customHeight="1">
      <c r="A38" s="36">
        <v>2001</v>
      </c>
      <c r="B38" s="37">
        <v>61.624856544071889</v>
      </c>
      <c r="C38" s="37">
        <v>16.670833333333334</v>
      </c>
      <c r="D38" s="37">
        <v>126.50204064456746</v>
      </c>
      <c r="E38" s="37">
        <v>5.9375</v>
      </c>
      <c r="F38" s="37">
        <v>0.10210844481700002</v>
      </c>
      <c r="G38" s="37">
        <v>45.075166666666675</v>
      </c>
      <c r="H38" s="37">
        <v>132.24688888888889</v>
      </c>
      <c r="I38" s="38">
        <v>388.15939452234522</v>
      </c>
    </row>
    <row r="39" spans="1:9" ht="15.95" customHeight="1">
      <c r="A39" s="744">
        <v>2002</v>
      </c>
      <c r="B39" s="745">
        <v>65.744971872600004</v>
      </c>
      <c r="C39" s="745">
        <v>17.209722222222222</v>
      </c>
      <c r="D39" s="745">
        <v>127.48795145689141</v>
      </c>
      <c r="E39" s="745">
        <v>5.8086111111111114</v>
      </c>
      <c r="F39" s="745">
        <v>9.6900927400000003E-2</v>
      </c>
      <c r="G39" s="745">
        <v>45.649944444444444</v>
      </c>
      <c r="H39" s="745">
        <v>131.04905555555555</v>
      </c>
      <c r="I39" s="746">
        <v>393.04715759022474</v>
      </c>
    </row>
    <row r="40" spans="1:9" ht="15.95" customHeight="1">
      <c r="A40" s="36">
        <v>2003</v>
      </c>
      <c r="B40" s="37">
        <v>68.980639676899997</v>
      </c>
      <c r="C40" s="37">
        <v>17.096111111111114</v>
      </c>
      <c r="D40" s="37">
        <v>129.14114185099692</v>
      </c>
      <c r="E40" s="37">
        <v>6.7050000000000001</v>
      </c>
      <c r="F40" s="37">
        <v>0.16663626820000002</v>
      </c>
      <c r="G40" s="37">
        <v>46.522944444444448</v>
      </c>
      <c r="H40" s="37">
        <v>129.42599999999999</v>
      </c>
      <c r="I40" s="38">
        <v>398.0384733516525</v>
      </c>
    </row>
    <row r="41" spans="1:9" ht="15.95" customHeight="1">
      <c r="A41" s="744">
        <v>2004</v>
      </c>
      <c r="B41" s="745">
        <v>69.5654817929111</v>
      </c>
      <c r="C41" s="745">
        <v>17.329999999999998</v>
      </c>
      <c r="D41" s="745">
        <v>126.9758446496413</v>
      </c>
      <c r="E41" s="745">
        <v>6.8705555555555557</v>
      </c>
      <c r="F41" s="745">
        <v>0.11936031820000001</v>
      </c>
      <c r="G41" s="745">
        <v>46.721944444444439</v>
      </c>
      <c r="H41" s="745">
        <v>130.38722222222222</v>
      </c>
      <c r="I41" s="746">
        <v>397.97040898297462</v>
      </c>
    </row>
    <row r="42" spans="1:9" ht="15.95" customHeight="1">
      <c r="A42" s="36">
        <v>2005</v>
      </c>
      <c r="B42" s="37">
        <v>68.259315511111112</v>
      </c>
      <c r="C42" s="37">
        <v>15.7425</v>
      </c>
      <c r="D42" s="37">
        <v>122.4875</v>
      </c>
      <c r="E42" s="37">
        <v>5.4649999999999999</v>
      </c>
      <c r="F42" s="37">
        <v>5.7986111111111116</v>
      </c>
      <c r="G42" s="37">
        <v>47.007222222222218</v>
      </c>
      <c r="H42" s="37">
        <v>129.75194444444443</v>
      </c>
      <c r="I42" s="38">
        <v>394.51209328888888</v>
      </c>
    </row>
    <row r="43" spans="1:9" ht="15.95" customHeight="1">
      <c r="A43" s="744">
        <v>2006</v>
      </c>
      <c r="B43" s="745">
        <v>68.648656311111111</v>
      </c>
      <c r="C43" s="745">
        <v>15.942777777777778</v>
      </c>
      <c r="D43" s="745">
        <v>119.95194444444444</v>
      </c>
      <c r="E43" s="745">
        <v>6.0533333333333328</v>
      </c>
      <c r="F43" s="745">
        <v>5.1188888888888888</v>
      </c>
      <c r="G43" s="745">
        <v>46.435833333333335</v>
      </c>
      <c r="H43" s="745">
        <v>130.78805555555556</v>
      </c>
      <c r="I43" s="746">
        <v>392.93948964444445</v>
      </c>
    </row>
    <row r="44" spans="1:9" ht="15.95" customHeight="1">
      <c r="A44" s="36">
        <v>2007</v>
      </c>
      <c r="B44" s="37">
        <v>72.487091988888892</v>
      </c>
      <c r="C44" s="37">
        <v>17.362777777777776</v>
      </c>
      <c r="D44" s="37">
        <v>118.74472222222221</v>
      </c>
      <c r="E44" s="37">
        <v>5.985555555555556</v>
      </c>
      <c r="F44" s="37">
        <v>5.6816666666666666</v>
      </c>
      <c r="G44" s="37">
        <v>46.80833333333333</v>
      </c>
      <c r="H44" s="37">
        <v>129.07</v>
      </c>
      <c r="I44" s="38">
        <v>396.1401475444444</v>
      </c>
    </row>
    <row r="45" spans="1:9" ht="15.95" customHeight="1">
      <c r="A45" s="747">
        <v>2008</v>
      </c>
      <c r="B45" s="748">
        <v>72.421444666666659</v>
      </c>
      <c r="C45" s="748">
        <v>16.03361111111111</v>
      </c>
      <c r="D45" s="748">
        <v>113.74749999999999</v>
      </c>
      <c r="E45" s="748">
        <v>5.4377777777777769</v>
      </c>
      <c r="F45" s="748">
        <v>5.0683333333333334</v>
      </c>
      <c r="G45" s="748">
        <v>46.812222222222225</v>
      </c>
      <c r="H45" s="748">
        <v>126.02611111111109</v>
      </c>
      <c r="I45" s="749">
        <v>385.54700022222221</v>
      </c>
    </row>
    <row r="46" spans="1:9" ht="15.95" customHeight="1">
      <c r="A46" s="39">
        <v>2009</v>
      </c>
      <c r="B46" s="40">
        <v>72.024722222222223</v>
      </c>
      <c r="C46" s="40">
        <v>9.8980555555555547</v>
      </c>
      <c r="D46" s="40">
        <v>108.30861111111109</v>
      </c>
      <c r="E46" s="40">
        <v>5.3727777777777774</v>
      </c>
      <c r="F46" s="40">
        <v>3.6930555555555551</v>
      </c>
      <c r="G46" s="40">
        <v>48.101111111111116</v>
      </c>
      <c r="H46" s="40">
        <v>123.39499999999998</v>
      </c>
      <c r="I46" s="238">
        <v>370.79333333333329</v>
      </c>
    </row>
    <row r="47" spans="1:9" ht="15.95" customHeight="1">
      <c r="A47" s="747">
        <v>2010</v>
      </c>
      <c r="B47" s="748">
        <v>74.099722222222212</v>
      </c>
      <c r="C47" s="748">
        <v>15.485555555555555</v>
      </c>
      <c r="D47" s="748">
        <v>111.47916666666667</v>
      </c>
      <c r="E47" s="748">
        <v>6.3936111111111105</v>
      </c>
      <c r="F47" s="748">
        <v>4.3747222222222231</v>
      </c>
      <c r="G47" s="748">
        <v>53.841944444444437</v>
      </c>
      <c r="H47" s="748">
        <v>129.66249999999999</v>
      </c>
      <c r="I47" s="749">
        <v>395.33722222222218</v>
      </c>
    </row>
    <row r="48" spans="1:9" ht="15.95" customHeight="1">
      <c r="A48" s="41">
        <v>2011</v>
      </c>
      <c r="B48" s="240">
        <v>74.900555555555556</v>
      </c>
      <c r="C48" s="240">
        <v>15.754722222222222</v>
      </c>
      <c r="D48" s="240">
        <v>106.34888888888888</v>
      </c>
      <c r="E48" s="240">
        <v>6.1741666666666664</v>
      </c>
      <c r="F48" s="240">
        <v>4.4030555555555555</v>
      </c>
      <c r="G48" s="240">
        <v>46.978333333333339</v>
      </c>
      <c r="H48" s="240">
        <v>125.32083333333333</v>
      </c>
      <c r="I48" s="308">
        <v>379.88055555555559</v>
      </c>
    </row>
    <row r="49" spans="1:9" s="200" customFormat="1" ht="15.95" customHeight="1">
      <c r="A49" s="750">
        <v>2012</v>
      </c>
      <c r="B49" s="751">
        <v>76.824722222222221</v>
      </c>
      <c r="C49" s="751">
        <v>14.105</v>
      </c>
      <c r="D49" s="751">
        <v>100.16611111111111</v>
      </c>
      <c r="E49" s="751">
        <v>6.346111111111111</v>
      </c>
      <c r="F49" s="751">
        <v>3.8863888888888889</v>
      </c>
      <c r="G49" s="751">
        <v>49.938611111111108</v>
      </c>
      <c r="H49" s="751">
        <v>126.425</v>
      </c>
      <c r="I49" s="752">
        <v>377.6919444444444</v>
      </c>
    </row>
    <row r="50" spans="1:9" ht="15.95" customHeight="1">
      <c r="A50" s="41">
        <v>2013</v>
      </c>
      <c r="B50" s="240">
        <v>78.401666666666657</v>
      </c>
      <c r="C50" s="240">
        <v>14.151944444444444</v>
      </c>
      <c r="D50" s="240">
        <v>96.031944444444434</v>
      </c>
      <c r="E50" s="240">
        <v>5.7380555555555546</v>
      </c>
      <c r="F50" s="240">
        <v>5.4094444444444445</v>
      </c>
      <c r="G50" s="240">
        <v>50.976666666666667</v>
      </c>
      <c r="H50" s="240">
        <v>124.60805555555555</v>
      </c>
      <c r="I50" s="308">
        <v>375.31777777777768</v>
      </c>
    </row>
    <row r="51" spans="1:9" s="200" customFormat="1" ht="15.95" customHeight="1">
      <c r="A51" s="750">
        <v>2014</v>
      </c>
      <c r="B51" s="751">
        <v>81.065555555555548</v>
      </c>
      <c r="C51" s="751">
        <v>14.5425</v>
      </c>
      <c r="D51" s="751">
        <v>92.405555555555551</v>
      </c>
      <c r="E51" s="751">
        <v>5.9086111111111101</v>
      </c>
      <c r="F51" s="751">
        <v>5.315833333333333</v>
      </c>
      <c r="G51" s="751">
        <v>48.578055555555565</v>
      </c>
      <c r="H51" s="751">
        <v>120.31055555555555</v>
      </c>
      <c r="I51" s="752">
        <v>368.12666666666667</v>
      </c>
    </row>
    <row r="52" spans="1:9" ht="15.95" customHeight="1">
      <c r="A52" s="41">
        <v>2015</v>
      </c>
      <c r="B52" s="240">
        <v>83.516666666666666</v>
      </c>
      <c r="C52" s="240">
        <v>13.606944444444446</v>
      </c>
      <c r="D52" s="240">
        <v>91.464166666666657</v>
      </c>
      <c r="E52" s="240">
        <v>5.9463888888888885</v>
      </c>
      <c r="F52" s="240">
        <v>4.7805555555555559</v>
      </c>
      <c r="G52" s="240">
        <v>48.595833333333331</v>
      </c>
      <c r="H52" s="240">
        <v>122.36527777777778</v>
      </c>
      <c r="I52" s="308">
        <v>370.27583333333337</v>
      </c>
    </row>
    <row r="53" spans="1:9" ht="15.95" customHeight="1">
      <c r="B53" s="43"/>
      <c r="C53" s="43"/>
      <c r="D53" s="43"/>
      <c r="E53" s="43"/>
      <c r="F53" s="43"/>
    </row>
    <row r="54" spans="1:9" ht="15.95" customHeight="1">
      <c r="A54" s="26" t="s">
        <v>27</v>
      </c>
      <c r="B54" s="307"/>
    </row>
    <row r="55" spans="1:9" ht="15.95" customHeight="1">
      <c r="A55" s="26" t="s">
        <v>482</v>
      </c>
      <c r="H55" s="200"/>
    </row>
    <row r="56" spans="1:9" ht="15.95" customHeight="1">
      <c r="A56" s="26" t="s">
        <v>532</v>
      </c>
      <c r="H56" s="200"/>
    </row>
    <row r="58" spans="1:9">
      <c r="D58" s="23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theme="0"/>
  </sheetPr>
  <dimension ref="A1:H20"/>
  <sheetViews>
    <sheetView zoomScaleNormal="100" workbookViewId="0">
      <selection activeCell="B1" sqref="B1"/>
    </sheetView>
  </sheetViews>
  <sheetFormatPr defaultRowHeight="12.75"/>
  <cols>
    <col min="1" max="1" width="21.3984375" style="457" customWidth="1"/>
    <col min="2" max="4" width="9.86328125" style="458" customWidth="1"/>
    <col min="5" max="5" width="9.86328125" style="466" customWidth="1"/>
    <col min="6" max="250" width="9.1328125" style="466"/>
    <col min="251" max="251" width="5.59765625" style="466" customWidth="1"/>
    <col min="252" max="258" width="9.86328125" style="466" customWidth="1"/>
    <col min="259" max="506" width="9.1328125" style="466"/>
    <col min="507" max="507" width="5.59765625" style="466" customWidth="1"/>
    <col min="508" max="514" width="9.86328125" style="466" customWidth="1"/>
    <col min="515" max="762" width="9.1328125" style="466"/>
    <col min="763" max="763" width="5.59765625" style="466" customWidth="1"/>
    <col min="764" max="770" width="9.86328125" style="466" customWidth="1"/>
    <col min="771" max="1018" width="9.1328125" style="466"/>
    <col min="1019" max="1019" width="5.59765625" style="466" customWidth="1"/>
    <col min="1020" max="1026" width="9.86328125" style="466" customWidth="1"/>
    <col min="1027" max="1274" width="9.1328125" style="466"/>
    <col min="1275" max="1275" width="5.59765625" style="466" customWidth="1"/>
    <col min="1276" max="1282" width="9.86328125" style="466" customWidth="1"/>
    <col min="1283" max="1530" width="9.1328125" style="466"/>
    <col min="1531" max="1531" width="5.59765625" style="466" customWidth="1"/>
    <col min="1532" max="1538" width="9.86328125" style="466" customWidth="1"/>
    <col min="1539" max="1786" width="9.1328125" style="466"/>
    <col min="1787" max="1787" width="5.59765625" style="466" customWidth="1"/>
    <col min="1788" max="1794" width="9.86328125" style="466" customWidth="1"/>
    <col min="1795" max="2042" width="9.1328125" style="466"/>
    <col min="2043" max="2043" width="5.59765625" style="466" customWidth="1"/>
    <col min="2044" max="2050" width="9.86328125" style="466" customWidth="1"/>
    <col min="2051" max="2298" width="9.1328125" style="466"/>
    <col min="2299" max="2299" width="5.59765625" style="466" customWidth="1"/>
    <col min="2300" max="2306" width="9.86328125" style="466" customWidth="1"/>
    <col min="2307" max="2554" width="9.1328125" style="466"/>
    <col min="2555" max="2555" width="5.59765625" style="466" customWidth="1"/>
    <col min="2556" max="2562" width="9.86328125" style="466" customWidth="1"/>
    <col min="2563" max="2810" width="9.1328125" style="466"/>
    <col min="2811" max="2811" width="5.59765625" style="466" customWidth="1"/>
    <col min="2812" max="2818" width="9.86328125" style="466" customWidth="1"/>
    <col min="2819" max="3066" width="9.1328125" style="466"/>
    <col min="3067" max="3067" width="5.59765625" style="466" customWidth="1"/>
    <col min="3068" max="3074" width="9.86328125" style="466" customWidth="1"/>
    <col min="3075" max="3322" width="9.1328125" style="466"/>
    <col min="3323" max="3323" width="5.59765625" style="466" customWidth="1"/>
    <col min="3324" max="3330" width="9.86328125" style="466" customWidth="1"/>
    <col min="3331" max="3578" width="9.1328125" style="466"/>
    <col min="3579" max="3579" width="5.59765625" style="466" customWidth="1"/>
    <col min="3580" max="3586" width="9.86328125" style="466" customWidth="1"/>
    <col min="3587" max="3834" width="9.1328125" style="466"/>
    <col min="3835" max="3835" width="5.59765625" style="466" customWidth="1"/>
    <col min="3836" max="3842" width="9.86328125" style="466" customWidth="1"/>
    <col min="3843" max="4090" width="9.1328125" style="466"/>
    <col min="4091" max="4091" width="5.59765625" style="466" customWidth="1"/>
    <col min="4092" max="4098" width="9.86328125" style="466" customWidth="1"/>
    <col min="4099" max="4346" width="9.1328125" style="466"/>
    <col min="4347" max="4347" width="5.59765625" style="466" customWidth="1"/>
    <col min="4348" max="4354" width="9.86328125" style="466" customWidth="1"/>
    <col min="4355" max="4602" width="9.1328125" style="466"/>
    <col min="4603" max="4603" width="5.59765625" style="466" customWidth="1"/>
    <col min="4604" max="4610" width="9.86328125" style="466" customWidth="1"/>
    <col min="4611" max="4858" width="9.1328125" style="466"/>
    <col min="4859" max="4859" width="5.59765625" style="466" customWidth="1"/>
    <col min="4860" max="4866" width="9.86328125" style="466" customWidth="1"/>
    <col min="4867" max="5114" width="9.1328125" style="466"/>
    <col min="5115" max="5115" width="5.59765625" style="466" customWidth="1"/>
    <col min="5116" max="5122" width="9.86328125" style="466" customWidth="1"/>
    <col min="5123" max="5370" width="9.1328125" style="466"/>
    <col min="5371" max="5371" width="5.59765625" style="466" customWidth="1"/>
    <col min="5372" max="5378" width="9.86328125" style="466" customWidth="1"/>
    <col min="5379" max="5626" width="9.1328125" style="466"/>
    <col min="5627" max="5627" width="5.59765625" style="466" customWidth="1"/>
    <col min="5628" max="5634" width="9.86328125" style="466" customWidth="1"/>
    <col min="5635" max="5882" width="9.1328125" style="466"/>
    <col min="5883" max="5883" width="5.59765625" style="466" customWidth="1"/>
    <col min="5884" max="5890" width="9.86328125" style="466" customWidth="1"/>
    <col min="5891" max="6138" width="9.1328125" style="466"/>
    <col min="6139" max="6139" width="5.59765625" style="466" customWidth="1"/>
    <col min="6140" max="6146" width="9.86328125" style="466" customWidth="1"/>
    <col min="6147" max="6394" width="9.1328125" style="466"/>
    <col min="6395" max="6395" width="5.59765625" style="466" customWidth="1"/>
    <col min="6396" max="6402" width="9.86328125" style="466" customWidth="1"/>
    <col min="6403" max="6650" width="9.1328125" style="466"/>
    <col min="6651" max="6651" width="5.59765625" style="466" customWidth="1"/>
    <col min="6652" max="6658" width="9.86328125" style="466" customWidth="1"/>
    <col min="6659" max="6906" width="9.1328125" style="466"/>
    <col min="6907" max="6907" width="5.59765625" style="466" customWidth="1"/>
    <col min="6908" max="6914" width="9.86328125" style="466" customWidth="1"/>
    <col min="6915" max="7162" width="9.1328125" style="466"/>
    <col min="7163" max="7163" width="5.59765625" style="466" customWidth="1"/>
    <col min="7164" max="7170" width="9.86328125" style="466" customWidth="1"/>
    <col min="7171" max="7418" width="9.1328125" style="466"/>
    <col min="7419" max="7419" width="5.59765625" style="466" customWidth="1"/>
    <col min="7420" max="7426" width="9.86328125" style="466" customWidth="1"/>
    <col min="7427" max="7674" width="9.1328125" style="466"/>
    <col min="7675" max="7675" width="5.59765625" style="466" customWidth="1"/>
    <col min="7676" max="7682" width="9.86328125" style="466" customWidth="1"/>
    <col min="7683" max="7930" width="9.1328125" style="466"/>
    <col min="7931" max="7931" width="5.59765625" style="466" customWidth="1"/>
    <col min="7932" max="7938" width="9.86328125" style="466" customWidth="1"/>
    <col min="7939" max="8186" width="9.1328125" style="466"/>
    <col min="8187" max="8187" width="5.59765625" style="466" customWidth="1"/>
    <col min="8188" max="8194" width="9.86328125" style="466" customWidth="1"/>
    <col min="8195" max="8442" width="9.1328125" style="466"/>
    <col min="8443" max="8443" width="5.59765625" style="466" customWidth="1"/>
    <col min="8444" max="8450" width="9.86328125" style="466" customWidth="1"/>
    <col min="8451" max="8698" width="9.1328125" style="466"/>
    <col min="8699" max="8699" width="5.59765625" style="466" customWidth="1"/>
    <col min="8700" max="8706" width="9.86328125" style="466" customWidth="1"/>
    <col min="8707" max="8954" width="9.1328125" style="466"/>
    <col min="8955" max="8955" width="5.59765625" style="466" customWidth="1"/>
    <col min="8956" max="8962" width="9.86328125" style="466" customWidth="1"/>
    <col min="8963" max="9210" width="9.1328125" style="466"/>
    <col min="9211" max="9211" width="5.59765625" style="466" customWidth="1"/>
    <col min="9212" max="9218" width="9.86328125" style="466" customWidth="1"/>
    <col min="9219" max="9466" width="9.1328125" style="466"/>
    <col min="9467" max="9467" width="5.59765625" style="466" customWidth="1"/>
    <col min="9468" max="9474" width="9.86328125" style="466" customWidth="1"/>
    <col min="9475" max="9722" width="9.1328125" style="466"/>
    <col min="9723" max="9723" width="5.59765625" style="466" customWidth="1"/>
    <col min="9724" max="9730" width="9.86328125" style="466" customWidth="1"/>
    <col min="9731" max="9978" width="9.1328125" style="466"/>
    <col min="9979" max="9979" width="5.59765625" style="466" customWidth="1"/>
    <col min="9980" max="9986" width="9.86328125" style="466" customWidth="1"/>
    <col min="9987" max="10234" width="9.1328125" style="466"/>
    <col min="10235" max="10235" width="5.59765625" style="466" customWidth="1"/>
    <col min="10236" max="10242" width="9.86328125" style="466" customWidth="1"/>
    <col min="10243" max="10490" width="9.1328125" style="466"/>
    <col min="10491" max="10491" width="5.59765625" style="466" customWidth="1"/>
    <col min="10492" max="10498" width="9.86328125" style="466" customWidth="1"/>
    <col min="10499" max="10746" width="9.1328125" style="466"/>
    <col min="10747" max="10747" width="5.59765625" style="466" customWidth="1"/>
    <col min="10748" max="10754" width="9.86328125" style="466" customWidth="1"/>
    <col min="10755" max="11002" width="9.1328125" style="466"/>
    <col min="11003" max="11003" width="5.59765625" style="466" customWidth="1"/>
    <col min="11004" max="11010" width="9.86328125" style="466" customWidth="1"/>
    <col min="11011" max="11258" width="9.1328125" style="466"/>
    <col min="11259" max="11259" width="5.59765625" style="466" customWidth="1"/>
    <col min="11260" max="11266" width="9.86328125" style="466" customWidth="1"/>
    <col min="11267" max="11514" width="9.1328125" style="466"/>
    <col min="11515" max="11515" width="5.59765625" style="466" customWidth="1"/>
    <col min="11516" max="11522" width="9.86328125" style="466" customWidth="1"/>
    <col min="11523" max="11770" width="9.1328125" style="466"/>
    <col min="11771" max="11771" width="5.59765625" style="466" customWidth="1"/>
    <col min="11772" max="11778" width="9.86328125" style="466" customWidth="1"/>
    <col min="11779" max="12026" width="9.1328125" style="466"/>
    <col min="12027" max="12027" width="5.59765625" style="466" customWidth="1"/>
    <col min="12028" max="12034" width="9.86328125" style="466" customWidth="1"/>
    <col min="12035" max="12282" width="9.1328125" style="466"/>
    <col min="12283" max="12283" width="5.59765625" style="466" customWidth="1"/>
    <col min="12284" max="12290" width="9.86328125" style="466" customWidth="1"/>
    <col min="12291" max="12538" width="9.1328125" style="466"/>
    <col min="12539" max="12539" width="5.59765625" style="466" customWidth="1"/>
    <col min="12540" max="12546" width="9.86328125" style="466" customWidth="1"/>
    <col min="12547" max="12794" width="9.1328125" style="466"/>
    <col min="12795" max="12795" width="5.59765625" style="466" customWidth="1"/>
    <col min="12796" max="12802" width="9.86328125" style="466" customWidth="1"/>
    <col min="12803" max="13050" width="9.1328125" style="466"/>
    <col min="13051" max="13051" width="5.59765625" style="466" customWidth="1"/>
    <col min="13052" max="13058" width="9.86328125" style="466" customWidth="1"/>
    <col min="13059" max="13306" width="9.1328125" style="466"/>
    <col min="13307" max="13307" width="5.59765625" style="466" customWidth="1"/>
    <col min="13308" max="13314" width="9.86328125" style="466" customWidth="1"/>
    <col min="13315" max="13562" width="9.1328125" style="466"/>
    <col min="13563" max="13563" width="5.59765625" style="466" customWidth="1"/>
    <col min="13564" max="13570" width="9.86328125" style="466" customWidth="1"/>
    <col min="13571" max="13818" width="9.1328125" style="466"/>
    <col min="13819" max="13819" width="5.59765625" style="466" customWidth="1"/>
    <col min="13820" max="13826" width="9.86328125" style="466" customWidth="1"/>
    <col min="13827" max="14074" width="9.1328125" style="466"/>
    <col min="14075" max="14075" width="5.59765625" style="466" customWidth="1"/>
    <col min="14076" max="14082" width="9.86328125" style="466" customWidth="1"/>
    <col min="14083" max="14330" width="9.1328125" style="466"/>
    <col min="14331" max="14331" width="5.59765625" style="466" customWidth="1"/>
    <col min="14332" max="14338" width="9.86328125" style="466" customWidth="1"/>
    <col min="14339" max="14586" width="9.1328125" style="466"/>
    <col min="14587" max="14587" width="5.59765625" style="466" customWidth="1"/>
    <col min="14588" max="14594" width="9.86328125" style="466" customWidth="1"/>
    <col min="14595" max="14842" width="9.1328125" style="466"/>
    <col min="14843" max="14843" width="5.59765625" style="466" customWidth="1"/>
    <col min="14844" max="14850" width="9.86328125" style="466" customWidth="1"/>
    <col min="14851" max="15098" width="9.1328125" style="466"/>
    <col min="15099" max="15099" width="5.59765625" style="466" customWidth="1"/>
    <col min="15100" max="15106" width="9.86328125" style="466" customWidth="1"/>
    <col min="15107" max="15354" width="9.1328125" style="466"/>
    <col min="15355" max="15355" width="5.59765625" style="466" customWidth="1"/>
    <col min="15356" max="15362" width="9.86328125" style="466" customWidth="1"/>
    <col min="15363" max="15610" width="9.1328125" style="466"/>
    <col min="15611" max="15611" width="5.59765625" style="466" customWidth="1"/>
    <col min="15612" max="15618" width="9.86328125" style="466" customWidth="1"/>
    <col min="15619" max="15866" width="9.1328125" style="466"/>
    <col min="15867" max="15867" width="5.59765625" style="466" customWidth="1"/>
    <col min="15868" max="15874" width="9.86328125" style="466" customWidth="1"/>
    <col min="15875" max="16122" width="9.1328125" style="466"/>
    <col min="16123" max="16123" width="5.59765625" style="466" customWidth="1"/>
    <col min="16124" max="16130" width="9.86328125" style="466" customWidth="1"/>
    <col min="16131" max="16384" width="9.1328125" style="466"/>
  </cols>
  <sheetData>
    <row r="1" spans="1:8" ht="13.15">
      <c r="A1" s="524" t="str">
        <f>IF(språk=lista[[#Headers],[Svenska]],"Innehåll",IF(språk=lista[[#Headers],[English]],"Contents","FEL"))</f>
        <v>Contents</v>
      </c>
    </row>
    <row r="2" spans="1:8" hidden="1">
      <c r="C2" s="458" t="s">
        <v>650</v>
      </c>
      <c r="D2" s="458" t="s">
        <v>651</v>
      </c>
    </row>
    <row r="3" spans="1:8" ht="15.75">
      <c r="A3" s="455" t="str">
        <f>IFERROR(INDEX(lista[],MATCH($A5,lista[ID],0),MATCH(språk,lista[#Headers],0)),"")</f>
        <v>World consumption of oil, natural gas and coal 2014, by region, TWh and percent of total</v>
      </c>
      <c r="B3" s="455"/>
      <c r="C3" s="455"/>
      <c r="D3" s="455"/>
      <c r="E3" s="455"/>
    </row>
    <row r="4" spans="1:8" ht="15.75">
      <c r="A4" s="455"/>
      <c r="B4" s="455"/>
      <c r="C4" s="455"/>
      <c r="D4" s="455"/>
      <c r="E4" s="455"/>
    </row>
    <row r="5" spans="1:8" ht="15.95" hidden="1" customHeight="1">
      <c r="A5" s="457">
        <v>84</v>
      </c>
      <c r="B5" s="458" t="s">
        <v>647</v>
      </c>
      <c r="C5" s="458" t="s">
        <v>648</v>
      </c>
      <c r="E5" s="458" t="s">
        <v>649</v>
      </c>
    </row>
    <row r="6" spans="1:8" ht="15.95" customHeight="1">
      <c r="B6" s="1070" t="str">
        <f>IFERROR(INDEX(_12.6[],MATCH(språk,_12.6[[id]:[id]],0),MATCH(B$5,_12.6[#Headers],0)),"")</f>
        <v>Oil</v>
      </c>
      <c r="C6" s="1070"/>
      <c r="D6" s="1070" t="str">
        <f>IFERROR(INDEX(_12.6[],MATCH(språk,_12.6[[id]:[id]],0),MATCH(C$5,_12.6[#Headers],0)),"")</f>
        <v>Natural gas</v>
      </c>
      <c r="E6" s="1070"/>
      <c r="F6" s="1070" t="str">
        <f>IFERROR(INDEX(_12.6[],MATCH(språk,_12.6[[id]:[id]],0),MATCH(E$5,_12.6[#Headers],0)),"")</f>
        <v>Coal</v>
      </c>
      <c r="G6" s="1070"/>
      <c r="H6" s="659"/>
    </row>
    <row r="7" spans="1:8" ht="15.95" customHeight="1">
      <c r="A7" s="511" t="s">
        <v>128</v>
      </c>
      <c r="B7" s="461" t="str">
        <f>IFERROR(INDEX(_12.6[],MATCH(språk,_12.6[[id]:[id]],0),MATCH(C$2,_12.6[#Headers],0)),"")</f>
        <v>TWh</v>
      </c>
      <c r="C7" s="461" t="str">
        <f>IFERROR(INDEX(_12.6[],MATCH(språk,_12.6[[id]:[id]],0),MATCH(D$2,_12.6[#Headers],0)),"")</f>
        <v>Percent</v>
      </c>
      <c r="D7" s="851" t="str">
        <f>IFERROR(INDEX(_12.6[],MATCH(språk,_12.6[[id]:[id]],0),MATCH(C$2,_12.6[#Headers],0)),"")</f>
        <v>TWh</v>
      </c>
      <c r="E7" s="461" t="str">
        <f>IFERROR(INDEX(_12.6[],MATCH(språk,_12.6[[id]:[id]],0),MATCH(D$2,_12.6[#Headers],0)),"")</f>
        <v>Percent</v>
      </c>
      <c r="F7" s="851" t="str">
        <f>IFERROR(INDEX(_12.6[],MATCH(språk,_12.6[[id]:[id]],0),MATCH(C$2,_12.6[#Headers],0)),"")</f>
        <v>TWh</v>
      </c>
      <c r="G7" s="461" t="str">
        <f>IFERROR(INDEX(_12.6[],MATCH(språk,_12.6[[id]:[id]],0),MATCH(D$2,_12.6[#Headers],0)),"")</f>
        <v>Percent</v>
      </c>
    </row>
    <row r="8" spans="1:8" ht="15.95" customHeight="1">
      <c r="A8" s="840" t="s">
        <v>129</v>
      </c>
      <c r="B8" s="841">
        <v>12051.754103999021</v>
      </c>
      <c r="C8" s="841">
        <v>23.924774671856667</v>
      </c>
      <c r="D8" s="852">
        <v>10242.42757627609</v>
      </c>
      <c r="E8" s="841">
        <v>28.090284703053474</v>
      </c>
      <c r="F8" s="852">
        <v>4989.0805385724634</v>
      </c>
      <c r="G8" s="841">
        <v>11.171887140698967</v>
      </c>
    </row>
    <row r="9" spans="1:8" ht="15.95" customHeight="1">
      <c r="A9" s="465" t="s">
        <v>126</v>
      </c>
      <c r="B9" s="462">
        <v>3753.4901887133924</v>
      </c>
      <c r="C9" s="462">
        <v>7.4513142421479301</v>
      </c>
      <c r="D9" s="853">
        <v>1829.4231812629932</v>
      </c>
      <c r="E9" s="462">
        <v>5.0172693554673051</v>
      </c>
      <c r="F9" s="853">
        <v>432.02211316998591</v>
      </c>
      <c r="G9" s="462">
        <v>0.96741318431439394</v>
      </c>
    </row>
    <row r="10" spans="1:8" ht="15.95" customHeight="1">
      <c r="A10" s="840" t="s">
        <v>118</v>
      </c>
      <c r="B10" s="841">
        <v>6722.1230890149773</v>
      </c>
      <c r="C10" s="841">
        <v>13.344553733286283</v>
      </c>
      <c r="D10" s="852">
        <v>2099.3443615396072</v>
      </c>
      <c r="E10" s="841">
        <v>5.7575394471901316</v>
      </c>
      <c r="F10" s="852">
        <v>22412.105748276343</v>
      </c>
      <c r="G10" s="841">
        <v>50.186705560138577</v>
      </c>
    </row>
    <row r="11" spans="1:8" ht="15.95" customHeight="1">
      <c r="A11" s="465" t="s">
        <v>63</v>
      </c>
      <c r="B11" s="462">
        <v>1662.9460431873629</v>
      </c>
      <c r="C11" s="462">
        <v>3.3012297655087064</v>
      </c>
      <c r="D11" s="853">
        <v>4097.6700475911866</v>
      </c>
      <c r="E11" s="462">
        <v>11.238030964712031</v>
      </c>
      <c r="F11" s="853">
        <v>1032.0543213322899</v>
      </c>
      <c r="G11" s="462">
        <v>2.3110459556329612</v>
      </c>
    </row>
    <row r="12" spans="1:8" ht="15.95" customHeight="1">
      <c r="A12" s="840" t="s">
        <v>125</v>
      </c>
      <c r="B12" s="841">
        <v>4951.2686686281259</v>
      </c>
      <c r="C12" s="841">
        <v>9.8291075485389179</v>
      </c>
      <c r="D12" s="852">
        <v>5130.815634002357</v>
      </c>
      <c r="E12" s="841">
        <v>14.071475814174605</v>
      </c>
      <c r="F12" s="852">
        <v>122.38265616141879</v>
      </c>
      <c r="G12" s="841">
        <v>0.27404753482002325</v>
      </c>
    </row>
    <row r="13" spans="1:8" ht="15.95" customHeight="1">
      <c r="A13" s="465" t="s">
        <v>270</v>
      </c>
      <c r="B13" s="462">
        <v>10423.062518324894</v>
      </c>
      <c r="C13" s="462">
        <v>20.691545810651085</v>
      </c>
      <c r="D13" s="853">
        <v>5911.2079022405987</v>
      </c>
      <c r="E13" s="462">
        <v>16.21173414957638</v>
      </c>
      <c r="F13" s="853">
        <v>9966.3197712506117</v>
      </c>
      <c r="G13" s="462">
        <v>22.31725842701815</v>
      </c>
    </row>
    <row r="14" spans="1:8" ht="15.95" customHeight="1">
      <c r="A14" s="840" t="s">
        <v>398</v>
      </c>
      <c r="B14" s="841">
        <v>6980.5965833854416</v>
      </c>
      <c r="C14" s="841">
        <v>13.857667430935393</v>
      </c>
      <c r="D14" s="852">
        <v>4208.6184880544579</v>
      </c>
      <c r="E14" s="841">
        <v>11.542311688862995</v>
      </c>
      <c r="F14" s="852">
        <v>3051.6487330361401</v>
      </c>
      <c r="G14" s="841">
        <v>6.8334585851948892</v>
      </c>
    </row>
    <row r="15" spans="1:8" ht="15.95" customHeight="1">
      <c r="A15" s="465" t="s">
        <v>127</v>
      </c>
      <c r="B15" s="462">
        <v>2128.0553431867606</v>
      </c>
      <c r="C15" s="462">
        <v>4.2245505621534205</v>
      </c>
      <c r="D15" s="853">
        <v>1417.8013105702503</v>
      </c>
      <c r="E15" s="462">
        <v>3.8883792118314044</v>
      </c>
      <c r="F15" s="853">
        <v>1126.5627400863691</v>
      </c>
      <c r="G15" s="462">
        <v>2.5226756096350189</v>
      </c>
    </row>
    <row r="16" spans="1:8" ht="15.95" customHeight="1">
      <c r="A16" s="840" t="s">
        <v>51</v>
      </c>
      <c r="B16" s="841">
        <v>1700.2357906891718</v>
      </c>
      <c r="C16" s="841">
        <v>3.3752562349215842</v>
      </c>
      <c r="D16" s="852">
        <v>1525.2182565580028</v>
      </c>
      <c r="E16" s="841">
        <v>4.1829746651316988</v>
      </c>
      <c r="F16" s="852">
        <v>1525.27896945616</v>
      </c>
      <c r="G16" s="841">
        <v>3.4155080025470199</v>
      </c>
    </row>
    <row r="17" spans="1:7" ht="15.95" customHeight="1">
      <c r="A17" s="465" t="s">
        <v>16</v>
      </c>
      <c r="B17" s="463">
        <v>50373.532329129157</v>
      </c>
      <c r="C17" s="463">
        <v>100</v>
      </c>
      <c r="D17" s="854">
        <v>36462.526758095533</v>
      </c>
      <c r="E17" s="463">
        <v>100.00000000000003</v>
      </c>
      <c r="F17" s="854">
        <v>44657.455591341779</v>
      </c>
      <c r="G17" s="463">
        <v>99.999999999999986</v>
      </c>
    </row>
    <row r="18" spans="1:7" ht="15.95" customHeight="1">
      <c r="A18" s="466"/>
      <c r="B18" s="467"/>
      <c r="C18" s="467"/>
      <c r="D18" s="467"/>
      <c r="E18" s="467"/>
    </row>
    <row r="19" spans="1:7" ht="15.95" customHeight="1">
      <c r="A19" s="682" t="s">
        <v>466</v>
      </c>
      <c r="B19" s="682"/>
      <c r="C19" s="682"/>
    </row>
    <row r="20" spans="1:7" ht="15.95" customHeight="1"/>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tabColor theme="0"/>
  </sheetPr>
  <dimension ref="A1:J26"/>
  <sheetViews>
    <sheetView topLeftCell="B1" zoomScaleNormal="100" workbookViewId="0">
      <selection activeCell="E1" sqref="E1"/>
    </sheetView>
  </sheetViews>
  <sheetFormatPr defaultRowHeight="12.75"/>
  <cols>
    <col min="1" max="1" width="0" style="466" hidden="1" customWidth="1"/>
    <col min="2" max="2" width="9.3984375" style="457" customWidth="1"/>
    <col min="3" max="3" width="9.86328125" style="458" customWidth="1"/>
    <col min="4" max="4" width="7.3984375" style="1006" customWidth="1"/>
    <col min="5" max="5" width="6.3984375" style="458" bestFit="1" customWidth="1"/>
    <col min="6" max="7" width="10.265625" style="458" customWidth="1"/>
    <col min="8" max="8" width="10.86328125" style="458" customWidth="1"/>
    <col min="9" max="9" width="10.3984375" style="458" customWidth="1"/>
    <col min="10" max="10" width="10" style="458" customWidth="1"/>
    <col min="11" max="257" width="9.1328125" style="466"/>
    <col min="258" max="258" width="5.59765625" style="466" customWidth="1"/>
    <col min="259" max="265" width="9.86328125" style="466" customWidth="1"/>
    <col min="266" max="513" width="9.1328125" style="466"/>
    <col min="514" max="514" width="5.59765625" style="466" customWidth="1"/>
    <col min="515" max="521" width="9.86328125" style="466" customWidth="1"/>
    <col min="522" max="769" width="9.1328125" style="466"/>
    <col min="770" max="770" width="5.59765625" style="466" customWidth="1"/>
    <col min="771" max="777" width="9.86328125" style="466" customWidth="1"/>
    <col min="778" max="1025" width="9.1328125" style="466"/>
    <col min="1026" max="1026" width="5.59765625" style="466" customWidth="1"/>
    <col min="1027" max="1033" width="9.86328125" style="466" customWidth="1"/>
    <col min="1034" max="1281" width="9.1328125" style="466"/>
    <col min="1282" max="1282" width="5.59765625" style="466" customWidth="1"/>
    <col min="1283" max="1289" width="9.86328125" style="466" customWidth="1"/>
    <col min="1290" max="1537" width="9.1328125" style="466"/>
    <col min="1538" max="1538" width="5.59765625" style="466" customWidth="1"/>
    <col min="1539" max="1545" width="9.86328125" style="466" customWidth="1"/>
    <col min="1546" max="1793" width="9.1328125" style="466"/>
    <col min="1794" max="1794" width="5.59765625" style="466" customWidth="1"/>
    <col min="1795" max="1801" width="9.86328125" style="466" customWidth="1"/>
    <col min="1802" max="2049" width="9.1328125" style="466"/>
    <col min="2050" max="2050" width="5.59765625" style="466" customWidth="1"/>
    <col min="2051" max="2057" width="9.86328125" style="466" customWidth="1"/>
    <col min="2058" max="2305" width="9.1328125" style="466"/>
    <col min="2306" max="2306" width="5.59765625" style="466" customWidth="1"/>
    <col min="2307" max="2313" width="9.86328125" style="466" customWidth="1"/>
    <col min="2314" max="2561" width="9.1328125" style="466"/>
    <col min="2562" max="2562" width="5.59765625" style="466" customWidth="1"/>
    <col min="2563" max="2569" width="9.86328125" style="466" customWidth="1"/>
    <col min="2570" max="2817" width="9.1328125" style="466"/>
    <col min="2818" max="2818" width="5.59765625" style="466" customWidth="1"/>
    <col min="2819" max="2825" width="9.86328125" style="466" customWidth="1"/>
    <col min="2826" max="3073" width="9.1328125" style="466"/>
    <col min="3074" max="3074" width="5.59765625" style="466" customWidth="1"/>
    <col min="3075" max="3081" width="9.86328125" style="466" customWidth="1"/>
    <col min="3082" max="3329" width="9.1328125" style="466"/>
    <col min="3330" max="3330" width="5.59765625" style="466" customWidth="1"/>
    <col min="3331" max="3337" width="9.86328125" style="466" customWidth="1"/>
    <col min="3338" max="3585" width="9.1328125" style="466"/>
    <col min="3586" max="3586" width="5.59765625" style="466" customWidth="1"/>
    <col min="3587" max="3593" width="9.86328125" style="466" customWidth="1"/>
    <col min="3594" max="3841" width="9.1328125" style="466"/>
    <col min="3842" max="3842" width="5.59765625" style="466" customWidth="1"/>
    <col min="3843" max="3849" width="9.86328125" style="466" customWidth="1"/>
    <col min="3850" max="4097" width="9.1328125" style="466"/>
    <col min="4098" max="4098" width="5.59765625" style="466" customWidth="1"/>
    <col min="4099" max="4105" width="9.86328125" style="466" customWidth="1"/>
    <col min="4106" max="4353" width="9.1328125" style="466"/>
    <col min="4354" max="4354" width="5.59765625" style="466" customWidth="1"/>
    <col min="4355" max="4361" width="9.86328125" style="466" customWidth="1"/>
    <col min="4362" max="4609" width="9.1328125" style="466"/>
    <col min="4610" max="4610" width="5.59765625" style="466" customWidth="1"/>
    <col min="4611" max="4617" width="9.86328125" style="466" customWidth="1"/>
    <col min="4618" max="4865" width="9.1328125" style="466"/>
    <col min="4866" max="4866" width="5.59765625" style="466" customWidth="1"/>
    <col min="4867" max="4873" width="9.86328125" style="466" customWidth="1"/>
    <col min="4874" max="5121" width="9.1328125" style="466"/>
    <col min="5122" max="5122" width="5.59765625" style="466" customWidth="1"/>
    <col min="5123" max="5129" width="9.86328125" style="466" customWidth="1"/>
    <col min="5130" max="5377" width="9.1328125" style="466"/>
    <col min="5378" max="5378" width="5.59765625" style="466" customWidth="1"/>
    <col min="5379" max="5385" width="9.86328125" style="466" customWidth="1"/>
    <col min="5386" max="5633" width="9.1328125" style="466"/>
    <col min="5634" max="5634" width="5.59765625" style="466" customWidth="1"/>
    <col min="5635" max="5641" width="9.86328125" style="466" customWidth="1"/>
    <col min="5642" max="5889" width="9.1328125" style="466"/>
    <col min="5890" max="5890" width="5.59765625" style="466" customWidth="1"/>
    <col min="5891" max="5897" width="9.86328125" style="466" customWidth="1"/>
    <col min="5898" max="6145" width="9.1328125" style="466"/>
    <col min="6146" max="6146" width="5.59765625" style="466" customWidth="1"/>
    <col min="6147" max="6153" width="9.86328125" style="466" customWidth="1"/>
    <col min="6154" max="6401" width="9.1328125" style="466"/>
    <col min="6402" max="6402" width="5.59765625" style="466" customWidth="1"/>
    <col min="6403" max="6409" width="9.86328125" style="466" customWidth="1"/>
    <col min="6410" max="6657" width="9.1328125" style="466"/>
    <col min="6658" max="6658" width="5.59765625" style="466" customWidth="1"/>
    <col min="6659" max="6665" width="9.86328125" style="466" customWidth="1"/>
    <col min="6666" max="6913" width="9.1328125" style="466"/>
    <col min="6914" max="6914" width="5.59765625" style="466" customWidth="1"/>
    <col min="6915" max="6921" width="9.86328125" style="466" customWidth="1"/>
    <col min="6922" max="7169" width="9.1328125" style="466"/>
    <col min="7170" max="7170" width="5.59765625" style="466" customWidth="1"/>
    <col min="7171" max="7177" width="9.86328125" style="466" customWidth="1"/>
    <col min="7178" max="7425" width="9.1328125" style="466"/>
    <col min="7426" max="7426" width="5.59765625" style="466" customWidth="1"/>
    <col min="7427" max="7433" width="9.86328125" style="466" customWidth="1"/>
    <col min="7434" max="7681" width="9.1328125" style="466"/>
    <col min="7682" max="7682" width="5.59765625" style="466" customWidth="1"/>
    <col min="7683" max="7689" width="9.86328125" style="466" customWidth="1"/>
    <col min="7690" max="7937" width="9.1328125" style="466"/>
    <col min="7938" max="7938" width="5.59765625" style="466" customWidth="1"/>
    <col min="7939" max="7945" width="9.86328125" style="466" customWidth="1"/>
    <col min="7946" max="8193" width="9.1328125" style="466"/>
    <col min="8194" max="8194" width="5.59765625" style="466" customWidth="1"/>
    <col min="8195" max="8201" width="9.86328125" style="466" customWidth="1"/>
    <col min="8202" max="8449" width="9.1328125" style="466"/>
    <col min="8450" max="8450" width="5.59765625" style="466" customWidth="1"/>
    <col min="8451" max="8457" width="9.86328125" style="466" customWidth="1"/>
    <col min="8458" max="8705" width="9.1328125" style="466"/>
    <col min="8706" max="8706" width="5.59765625" style="466" customWidth="1"/>
    <col min="8707" max="8713" width="9.86328125" style="466" customWidth="1"/>
    <col min="8714" max="8961" width="9.1328125" style="466"/>
    <col min="8962" max="8962" width="5.59765625" style="466" customWidth="1"/>
    <col min="8963" max="8969" width="9.86328125" style="466" customWidth="1"/>
    <col min="8970" max="9217" width="9.1328125" style="466"/>
    <col min="9218" max="9218" width="5.59765625" style="466" customWidth="1"/>
    <col min="9219" max="9225" width="9.86328125" style="466" customWidth="1"/>
    <col min="9226" max="9473" width="9.1328125" style="466"/>
    <col min="9474" max="9474" width="5.59765625" style="466" customWidth="1"/>
    <col min="9475" max="9481" width="9.86328125" style="466" customWidth="1"/>
    <col min="9482" max="9729" width="9.1328125" style="466"/>
    <col min="9730" max="9730" width="5.59765625" style="466" customWidth="1"/>
    <col min="9731" max="9737" width="9.86328125" style="466" customWidth="1"/>
    <col min="9738" max="9985" width="9.1328125" style="466"/>
    <col min="9986" max="9986" width="5.59765625" style="466" customWidth="1"/>
    <col min="9987" max="9993" width="9.86328125" style="466" customWidth="1"/>
    <col min="9994" max="10241" width="9.1328125" style="466"/>
    <col min="10242" max="10242" width="5.59765625" style="466" customWidth="1"/>
    <col min="10243" max="10249" width="9.86328125" style="466" customWidth="1"/>
    <col min="10250" max="10497" width="9.1328125" style="466"/>
    <col min="10498" max="10498" width="5.59765625" style="466" customWidth="1"/>
    <col min="10499" max="10505" width="9.86328125" style="466" customWidth="1"/>
    <col min="10506" max="10753" width="9.1328125" style="466"/>
    <col min="10754" max="10754" width="5.59765625" style="466" customWidth="1"/>
    <col min="10755" max="10761" width="9.86328125" style="466" customWidth="1"/>
    <col min="10762" max="11009" width="9.1328125" style="466"/>
    <col min="11010" max="11010" width="5.59765625" style="466" customWidth="1"/>
    <col min="11011" max="11017" width="9.86328125" style="466" customWidth="1"/>
    <col min="11018" max="11265" width="9.1328125" style="466"/>
    <col min="11266" max="11266" width="5.59765625" style="466" customWidth="1"/>
    <col min="11267" max="11273" width="9.86328125" style="466" customWidth="1"/>
    <col min="11274" max="11521" width="9.1328125" style="466"/>
    <col min="11522" max="11522" width="5.59765625" style="466" customWidth="1"/>
    <col min="11523" max="11529" width="9.86328125" style="466" customWidth="1"/>
    <col min="11530" max="11777" width="9.1328125" style="466"/>
    <col min="11778" max="11778" width="5.59765625" style="466" customWidth="1"/>
    <col min="11779" max="11785" width="9.86328125" style="466" customWidth="1"/>
    <col min="11786" max="12033" width="9.1328125" style="466"/>
    <col min="12034" max="12034" width="5.59765625" style="466" customWidth="1"/>
    <col min="12035" max="12041" width="9.86328125" style="466" customWidth="1"/>
    <col min="12042" max="12289" width="9.1328125" style="466"/>
    <col min="12290" max="12290" width="5.59765625" style="466" customWidth="1"/>
    <col min="12291" max="12297" width="9.86328125" style="466" customWidth="1"/>
    <col min="12298" max="12545" width="9.1328125" style="466"/>
    <col min="12546" max="12546" width="5.59765625" style="466" customWidth="1"/>
    <col min="12547" max="12553" width="9.86328125" style="466" customWidth="1"/>
    <col min="12554" max="12801" width="9.1328125" style="466"/>
    <col min="12802" max="12802" width="5.59765625" style="466" customWidth="1"/>
    <col min="12803" max="12809" width="9.86328125" style="466" customWidth="1"/>
    <col min="12810" max="13057" width="9.1328125" style="466"/>
    <col min="13058" max="13058" width="5.59765625" style="466" customWidth="1"/>
    <col min="13059" max="13065" width="9.86328125" style="466" customWidth="1"/>
    <col min="13066" max="13313" width="9.1328125" style="466"/>
    <col min="13314" max="13314" width="5.59765625" style="466" customWidth="1"/>
    <col min="13315" max="13321" width="9.86328125" style="466" customWidth="1"/>
    <col min="13322" max="13569" width="9.1328125" style="466"/>
    <col min="13570" max="13570" width="5.59765625" style="466" customWidth="1"/>
    <col min="13571" max="13577" width="9.86328125" style="466" customWidth="1"/>
    <col min="13578" max="13825" width="9.1328125" style="466"/>
    <col min="13826" max="13826" width="5.59765625" style="466" customWidth="1"/>
    <col min="13827" max="13833" width="9.86328125" style="466" customWidth="1"/>
    <col min="13834" max="14081" width="9.1328125" style="466"/>
    <col min="14082" max="14082" width="5.59765625" style="466" customWidth="1"/>
    <col min="14083" max="14089" width="9.86328125" style="466" customWidth="1"/>
    <col min="14090" max="14337" width="9.1328125" style="466"/>
    <col min="14338" max="14338" width="5.59765625" style="466" customWidth="1"/>
    <col min="14339" max="14345" width="9.86328125" style="466" customWidth="1"/>
    <col min="14346" max="14593" width="9.1328125" style="466"/>
    <col min="14594" max="14594" width="5.59765625" style="466" customWidth="1"/>
    <col min="14595" max="14601" width="9.86328125" style="466" customWidth="1"/>
    <col min="14602" max="14849" width="9.1328125" style="466"/>
    <col min="14850" max="14850" width="5.59765625" style="466" customWidth="1"/>
    <col min="14851" max="14857" width="9.86328125" style="466" customWidth="1"/>
    <col min="14858" max="15105" width="9.1328125" style="466"/>
    <col min="15106" max="15106" width="5.59765625" style="466" customWidth="1"/>
    <col min="15107" max="15113" width="9.86328125" style="466" customWidth="1"/>
    <col min="15114" max="15361" width="9.1328125" style="466"/>
    <col min="15362" max="15362" width="5.59765625" style="466" customWidth="1"/>
    <col min="15363" max="15369" width="9.86328125" style="466" customWidth="1"/>
    <col min="15370" max="15617" width="9.1328125" style="466"/>
    <col min="15618" max="15618" width="5.59765625" style="466" customWidth="1"/>
    <col min="15619" max="15625" width="9.86328125" style="466" customWidth="1"/>
    <col min="15626" max="15873" width="9.1328125" style="466"/>
    <col min="15874" max="15874" width="5.59765625" style="466" customWidth="1"/>
    <col min="15875" max="15881" width="9.86328125" style="466" customWidth="1"/>
    <col min="15882" max="16129" width="9.1328125" style="466"/>
    <col min="16130" max="16130" width="5.59765625" style="466" customWidth="1"/>
    <col min="16131" max="16137" width="9.86328125" style="466" customWidth="1"/>
    <col min="16138" max="16384" width="9.1328125" style="466"/>
  </cols>
  <sheetData>
    <row r="1" spans="1:10" ht="13.15">
      <c r="B1" s="524" t="str">
        <f>IF(språk=lista[[#Headers],[Svenska]],"Innehåll",IF(språk=lista[[#Headers],[English]],"Contents","FEL"))</f>
        <v>Contents</v>
      </c>
    </row>
    <row r="3" spans="1:10" ht="15.75">
      <c r="B3" s="455" t="str">
        <f>IFERROR(INDEX(lista[],MATCH($B4,lista[ID],0),MATCH(språk,lista[#Headers],0)),"")</f>
        <v>World energy consumption per capita, by region, kWh</v>
      </c>
      <c r="C3" s="455"/>
      <c r="D3" s="1007"/>
      <c r="E3" s="455"/>
      <c r="F3" s="455"/>
      <c r="G3" s="455"/>
      <c r="H3" s="455"/>
      <c r="I3" s="455"/>
      <c r="J3" s="456"/>
    </row>
    <row r="4" spans="1:10" ht="15.75" hidden="1">
      <c r="B4" s="455">
        <v>85</v>
      </c>
      <c r="C4" s="455"/>
      <c r="D4" s="1007"/>
      <c r="E4" s="455" t="s">
        <v>647</v>
      </c>
      <c r="F4" s="455" t="s">
        <v>648</v>
      </c>
      <c r="G4" s="455" t="s">
        <v>649</v>
      </c>
      <c r="H4" s="455" t="s">
        <v>650</v>
      </c>
      <c r="I4" s="455" t="s">
        <v>651</v>
      </c>
      <c r="J4" s="469" t="s">
        <v>652</v>
      </c>
    </row>
    <row r="6" spans="1:10" ht="26.25">
      <c r="B6" s="459"/>
      <c r="C6" s="460"/>
      <c r="D6" s="1008"/>
      <c r="E6" s="461" t="str">
        <f>IFERROR(INDEX(_12.7[],MATCH(språk,_12.7[[id]:[id]],0),MATCH(E$4,_12.7[#Headers],0)),"")</f>
        <v>Oil</v>
      </c>
      <c r="F6" s="461" t="str">
        <f>IFERROR(INDEX(_12.7[],MATCH(språk,_12.7[[id]:[id]],0),MATCH(F$4,_12.7[#Headers],0)),"")</f>
        <v>Natural gas</v>
      </c>
      <c r="G6" s="461" t="str">
        <f>IFERROR(INDEX(_12.7[],MATCH(språk,_12.7[[id]:[id]],0),MATCH(G$4,_12.7[#Headers],0)),"")</f>
        <v>Coal, peat, shale oil</v>
      </c>
      <c r="H6" s="461" t="str">
        <f>IFERROR(INDEX(_12.7[],MATCH(språk,_12.7[[id]:[id]],0),MATCH(H$4,_12.7[#Headers],0)),"")</f>
        <v>Renewables</v>
      </c>
      <c r="I6" s="461" t="str">
        <f>IFERROR(INDEX(_12.7[],MATCH(språk,_12.7[[id]:[id]],0),MATCH(I$4,_12.7[#Headers],0)),"")</f>
        <v>Electricity</v>
      </c>
      <c r="J6" s="461" t="str">
        <f>IFERROR(INDEX(_12.7[],MATCH(språk,_12.7[[id]:[id]],0),MATCH(J$4,_12.7[#Headers],0)),"")</f>
        <v>Total</v>
      </c>
    </row>
    <row r="7" spans="1:10" ht="13.15">
      <c r="A7" s="466">
        <v>229</v>
      </c>
      <c r="B7" s="1079" t="str">
        <f>IFERROR(INDEX(lista[],MATCH($A7,lista[ID],0),MATCH(språk,lista[#Headers],0)),"")</f>
        <v>USA</v>
      </c>
      <c r="C7" s="1079"/>
      <c r="D7" s="1009">
        <v>1990</v>
      </c>
      <c r="E7" s="841">
        <v>31763.920337357104</v>
      </c>
      <c r="F7" s="841">
        <v>14084.907146854266</v>
      </c>
      <c r="G7" s="841">
        <v>2587.2078103765289</v>
      </c>
      <c r="H7" s="841">
        <v>1065.8431529298905</v>
      </c>
      <c r="I7" s="841">
        <v>10528.594651850668</v>
      </c>
      <c r="J7" s="842">
        <v>60130.512111279881</v>
      </c>
    </row>
    <row r="8" spans="1:10" ht="13.15">
      <c r="A8" s="466">
        <v>230</v>
      </c>
      <c r="B8" s="1072"/>
      <c r="C8" s="1072"/>
      <c r="D8" s="1010">
        <v>2014</v>
      </c>
      <c r="E8" s="462">
        <v>27125.334367265095</v>
      </c>
      <c r="F8" s="462">
        <v>12943.125638374533</v>
      </c>
      <c r="G8" s="462">
        <v>809.07516370586211</v>
      </c>
      <c r="H8" s="462">
        <v>3077.393395369239</v>
      </c>
      <c r="I8" s="462">
        <v>11869.763762258359</v>
      </c>
      <c r="J8" s="463">
        <v>56028.491524892692</v>
      </c>
    </row>
    <row r="9" spans="1:10" ht="13.15">
      <c r="A9" s="466">
        <v>231</v>
      </c>
      <c r="B9" s="1080" t="str">
        <f>IFERROR(INDEX(lista[],MATCH($A8,lista[ID],0),MATCH(språk,lista[#Headers],0)),"")</f>
        <v>EU-28</v>
      </c>
      <c r="C9" s="1080"/>
      <c r="D9" s="1009">
        <v>1990</v>
      </c>
      <c r="E9" s="841">
        <v>12239.107008289375</v>
      </c>
      <c r="F9" s="841">
        <v>5492.8208574060127</v>
      </c>
      <c r="G9" s="841">
        <v>2966.7309093192666</v>
      </c>
      <c r="H9" s="841">
        <v>949.81254709871894</v>
      </c>
      <c r="I9" s="841">
        <v>4529.4482542074857</v>
      </c>
      <c r="J9" s="842">
        <v>27499.696391191494</v>
      </c>
    </row>
    <row r="10" spans="1:10" ht="13.15">
      <c r="A10" s="466">
        <v>232</v>
      </c>
      <c r="B10" s="1081"/>
      <c r="C10" s="1081"/>
      <c r="D10" s="1010">
        <v>2014</v>
      </c>
      <c r="E10" s="462">
        <v>10534.954007832643</v>
      </c>
      <c r="F10" s="462">
        <v>5382.3282034125132</v>
      </c>
      <c r="G10" s="462">
        <v>841.10536673685874</v>
      </c>
      <c r="H10" s="462">
        <v>1936.2200224352039</v>
      </c>
      <c r="I10" s="462">
        <v>5326.9853974376647</v>
      </c>
      <c r="J10" s="463">
        <v>25063.813846850218</v>
      </c>
    </row>
    <row r="11" spans="1:10" ht="13.5" thickBot="1">
      <c r="A11" s="466">
        <v>233</v>
      </c>
      <c r="B11" s="1075" t="str">
        <f>IFERROR(INDEX(lista[],MATCH($A9,lista[ID],0),MATCH(språk,lista[#Headers],0)),"")</f>
        <v>China</v>
      </c>
      <c r="C11" s="1075"/>
      <c r="D11" s="1009">
        <v>1990</v>
      </c>
      <c r="E11" s="841">
        <v>887.09824475652658</v>
      </c>
      <c r="F11" s="841">
        <v>93.307171971964991</v>
      </c>
      <c r="G11" s="841">
        <v>3228.5276291557202</v>
      </c>
      <c r="H11" s="841">
        <v>2035.1865568075693</v>
      </c>
      <c r="I11" s="841">
        <v>417.0501697637273</v>
      </c>
      <c r="J11" s="842">
        <v>6795.2734548882354</v>
      </c>
    </row>
    <row r="12" spans="1:10" ht="13.15">
      <c r="A12" s="466">
        <v>234</v>
      </c>
      <c r="B12" s="1076"/>
      <c r="C12" s="1076"/>
      <c r="D12" s="1010">
        <v>2014</v>
      </c>
      <c r="E12" s="462">
        <v>3848.2481400309325</v>
      </c>
      <c r="F12" s="462">
        <v>905.70733799028062</v>
      </c>
      <c r="G12" s="462">
        <v>6187.0010994891045</v>
      </c>
      <c r="H12" s="462">
        <v>1881.3513600680219</v>
      </c>
      <c r="I12" s="462">
        <v>3457.1943237042519</v>
      </c>
      <c r="J12" s="463">
        <v>16945.699472978224</v>
      </c>
    </row>
    <row r="13" spans="1:10" ht="13.5" thickBot="1">
      <c r="A13" s="466">
        <v>235</v>
      </c>
      <c r="B13" s="1075" t="str">
        <f>IFERROR(INDEX(lista[],MATCH($A10,lista[ID],0),MATCH(språk,lista[#Headers],0)),"")</f>
        <v>Russia</v>
      </c>
      <c r="C13" s="1075"/>
      <c r="D13" s="1009">
        <v>1990</v>
      </c>
      <c r="E13" s="841">
        <v>11394.256756756757</v>
      </c>
      <c r="F13" s="841">
        <v>11243.616824324325</v>
      </c>
      <c r="G13" s="841">
        <v>4301.1354729729737</v>
      </c>
      <c r="H13" s="841">
        <v>636.97824324324336</v>
      </c>
      <c r="I13" s="841">
        <v>5586.3290540540547</v>
      </c>
      <c r="J13" s="842">
        <v>49113.17567567568</v>
      </c>
    </row>
    <row r="14" spans="1:10" ht="13.15">
      <c r="A14" s="466">
        <v>236</v>
      </c>
      <c r="B14" s="1076"/>
      <c r="C14" s="1076"/>
      <c r="D14" s="1010">
        <v>2014</v>
      </c>
      <c r="E14" s="462">
        <v>9843.3693505771116</v>
      </c>
      <c r="F14" s="462">
        <v>10224.324224725353</v>
      </c>
      <c r="G14" s="462">
        <v>951.8615630649424</v>
      </c>
      <c r="H14" s="462">
        <v>211.78535669586987</v>
      </c>
      <c r="I14" s="462">
        <v>5174.7111667361987</v>
      </c>
      <c r="J14" s="463">
        <v>35134.77826449729</v>
      </c>
    </row>
    <row r="15" spans="1:10" ht="13.5" thickBot="1">
      <c r="A15" s="466">
        <v>237</v>
      </c>
      <c r="B15" s="1075" t="str">
        <f>IFERROR(INDEX(lista[],MATCH($A11,lista[ID],0),MATCH(språk,lista[#Headers],0)),"")</f>
        <v>India</v>
      </c>
      <c r="C15" s="1075"/>
      <c r="D15" s="1009">
        <v>1990</v>
      </c>
      <c r="E15" s="841">
        <v>671.39494821634071</v>
      </c>
      <c r="F15" s="841">
        <v>75.441093210586885</v>
      </c>
      <c r="G15" s="841">
        <v>520.65997698504032</v>
      </c>
      <c r="H15" s="841">
        <v>1743.5497928653624</v>
      </c>
      <c r="I15" s="841">
        <v>247.48211737629461</v>
      </c>
      <c r="J15" s="842">
        <v>3258.621611047181</v>
      </c>
    </row>
    <row r="16" spans="1:10" ht="13.15">
      <c r="A16" s="466">
        <v>238</v>
      </c>
      <c r="B16" s="1076"/>
      <c r="C16" s="1076"/>
      <c r="D16" s="1010">
        <v>2014</v>
      </c>
      <c r="E16" s="462">
        <v>1347.0001775664139</v>
      </c>
      <c r="F16" s="462">
        <v>238.93176817546649</v>
      </c>
      <c r="G16" s="462">
        <v>929.04242293231641</v>
      </c>
      <c r="H16" s="462">
        <v>1541.5323518285481</v>
      </c>
      <c r="I16" s="462">
        <v>687.27339051486547</v>
      </c>
      <c r="J16" s="463">
        <v>4743.7711323333006</v>
      </c>
    </row>
    <row r="17" spans="2:10" ht="15.75" customHeight="1">
      <c r="B17" s="1071" t="str">
        <f>IFERROR(INDEX(lista[],MATCH($A12,lista[ID],0),MATCH(språk,lista[#Headers],0)),"")</f>
        <v>Middle East</v>
      </c>
      <c r="C17" s="1071"/>
      <c r="D17" s="1009">
        <v>1990</v>
      </c>
      <c r="E17" s="841">
        <v>9399.3504138746557</v>
      </c>
      <c r="F17" s="841">
        <v>2864.271422940481</v>
      </c>
      <c r="G17" s="841">
        <v>16.227906976744187</v>
      </c>
      <c r="H17" s="841">
        <v>35.389672841939301</v>
      </c>
      <c r="I17" s="841">
        <v>1423.1966101694918</v>
      </c>
      <c r="J17" s="842">
        <v>13738.436026803312</v>
      </c>
    </row>
    <row r="18" spans="2:10" ht="13.15">
      <c r="B18" s="1072"/>
      <c r="C18" s="1072"/>
      <c r="D18" s="1010">
        <v>2014</v>
      </c>
      <c r="E18" s="462">
        <v>11438.996918955127</v>
      </c>
      <c r="F18" s="462">
        <v>8377.3390488948426</v>
      </c>
      <c r="G18" s="462">
        <v>114.04099129269929</v>
      </c>
      <c r="H18" s="462">
        <v>48.919223040857339</v>
      </c>
      <c r="I18" s="462">
        <v>3507.2278633623582</v>
      </c>
      <c r="J18" s="463">
        <v>23486.524045545884</v>
      </c>
    </row>
    <row r="19" spans="2:10" ht="13.5" customHeight="1" thickBot="1">
      <c r="B19" s="1073" t="str">
        <f>IFERROR(INDEX(lista[],MATCH($A13,lista[ID],0),MATCH(språk,lista[#Headers],0)),"")</f>
        <v>Central and South America</v>
      </c>
      <c r="C19" s="1073"/>
      <c r="D19" s="1009">
        <v>1990</v>
      </c>
      <c r="E19" s="841">
        <v>4179.7929511701168</v>
      </c>
      <c r="F19" s="841">
        <v>773.65408415841591</v>
      </c>
      <c r="G19" s="841">
        <v>221.10477610261026</v>
      </c>
      <c r="H19" s="841">
        <v>2156.1559405940598</v>
      </c>
      <c r="I19" s="841">
        <v>1173.598897389739</v>
      </c>
      <c r="J19" s="842">
        <v>8504.339362061206</v>
      </c>
    </row>
    <row r="20" spans="2:10" ht="13.15">
      <c r="B20" s="1074"/>
      <c r="C20" s="1074"/>
      <c r="D20" s="1010">
        <v>2014</v>
      </c>
      <c r="E20" s="462">
        <v>5486.6001806866097</v>
      </c>
      <c r="F20" s="462">
        <v>1505.2456133306569</v>
      </c>
      <c r="G20" s="462">
        <v>264.93798434049393</v>
      </c>
      <c r="H20" s="462">
        <v>2167.6022485444696</v>
      </c>
      <c r="I20" s="462">
        <v>2058.7738405942587</v>
      </c>
      <c r="J20" s="463">
        <v>11483.113170046176</v>
      </c>
    </row>
    <row r="21" spans="2:10" ht="13.5" thickBot="1">
      <c r="B21" s="1075" t="str">
        <f>IFERROR(INDEX(lista[],MATCH($A14,lista[ID],0),MATCH(språk,lista[#Headers],0)),"")</f>
        <v>Africa</v>
      </c>
      <c r="C21" s="1075"/>
      <c r="D21" s="1009">
        <v>1990</v>
      </c>
      <c r="E21" s="841">
        <v>1315.350115990721</v>
      </c>
      <c r="F21" s="841">
        <v>159.58804895608353</v>
      </c>
      <c r="G21" s="841">
        <v>365.85983521318298</v>
      </c>
      <c r="H21" s="841">
        <v>3180.4296136309099</v>
      </c>
      <c r="I21" s="841">
        <v>411.22251019918411</v>
      </c>
      <c r="J21" s="842">
        <v>5432.4315174786025</v>
      </c>
    </row>
    <row r="22" spans="2:10" ht="13.15">
      <c r="B22" s="1076"/>
      <c r="C22" s="1076"/>
      <c r="D22" s="1010">
        <v>2014</v>
      </c>
      <c r="E22" s="462">
        <v>1486.9377444363688</v>
      </c>
      <c r="F22" s="462">
        <v>322.44842176305679</v>
      </c>
      <c r="G22" s="462">
        <v>218.41722043401518</v>
      </c>
      <c r="H22" s="462">
        <v>3038.369198421763</v>
      </c>
      <c r="I22" s="462">
        <v>515.04400719897558</v>
      </c>
      <c r="J22" s="463">
        <v>5581.2165922541799</v>
      </c>
    </row>
    <row r="23" spans="2:10" ht="13.5" thickBot="1">
      <c r="B23" s="1077" t="str">
        <f>IFERROR(INDEX(lista[],MATCH($A15,lista[ID],0),MATCH(språk,lista[#Headers],0)),"")</f>
        <v>World</v>
      </c>
      <c r="C23" s="1077"/>
      <c r="D23" s="1009">
        <v>1990</v>
      </c>
      <c r="E23" s="841">
        <v>5742.7300353142673</v>
      </c>
      <c r="F23" s="841">
        <v>2080.0529713999913</v>
      </c>
      <c r="G23" s="841">
        <v>1687.0519881325877</v>
      </c>
      <c r="H23" s="841">
        <v>1753.3486639688388</v>
      </c>
      <c r="I23" s="841">
        <v>1837.0716553751954</v>
      </c>
      <c r="J23" s="842">
        <v>13839.261973506724</v>
      </c>
    </row>
    <row r="24" spans="2:10" ht="13.15">
      <c r="B24" s="1078"/>
      <c r="C24" s="1078"/>
      <c r="D24" s="1010">
        <v>2014</v>
      </c>
      <c r="E24" s="462">
        <v>5962.6256204595065</v>
      </c>
      <c r="F24" s="462">
        <v>2247.3008845772874</v>
      </c>
      <c r="G24" s="462">
        <v>1715.7918539426601</v>
      </c>
      <c r="H24" s="462">
        <v>1868.0093658690023</v>
      </c>
      <c r="I24" s="462">
        <v>2690.8708616489116</v>
      </c>
      <c r="J24" s="463">
        <v>14922.941316050141</v>
      </c>
    </row>
    <row r="25" spans="2:10" ht="12.75" customHeight="1">
      <c r="B25" s="464"/>
      <c r="C25" s="464"/>
      <c r="D25" s="1011"/>
      <c r="E25" s="464"/>
      <c r="F25" s="464"/>
      <c r="G25" s="464"/>
      <c r="H25" s="464"/>
      <c r="I25" s="464"/>
      <c r="J25" s="464"/>
    </row>
    <row r="26" spans="2:10" ht="13.15">
      <c r="B26" s="181" t="str">
        <f>IFERROR(INDEX(lista[],MATCH($A16,lista[ID],0),MATCH(språk,lista[#Headers],0)),"")</f>
        <v>Source: IEA. Processed by the Swedish Energy Agency.</v>
      </c>
      <c r="C26" s="464"/>
      <c r="D26" s="1011"/>
      <c r="E26" s="464"/>
      <c r="F26" s="464"/>
      <c r="G26" s="464"/>
      <c r="H26" s="464"/>
      <c r="I26" s="464"/>
      <c r="J26" s="464"/>
    </row>
  </sheetData>
  <mergeCells count="9">
    <mergeCell ref="B17:C18"/>
    <mergeCell ref="B19:C20"/>
    <mergeCell ref="B21:C22"/>
    <mergeCell ref="B23:C24"/>
    <mergeCell ref="B7:C8"/>
    <mergeCell ref="B9:C10"/>
    <mergeCell ref="B11:C12"/>
    <mergeCell ref="B13:C14"/>
    <mergeCell ref="B15:C16"/>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theme="6" tint="0.39997558519241921"/>
  </sheetPr>
  <dimension ref="A1:E35"/>
  <sheetViews>
    <sheetView zoomScaleNormal="100" workbookViewId="0">
      <pane ySplit="6" topLeftCell="A13" activePane="bottomLeft" state="frozen"/>
      <selection pane="bottomLeft" activeCell="B1" sqref="B1"/>
    </sheetView>
  </sheetViews>
  <sheetFormatPr defaultRowHeight="13.15"/>
  <cols>
    <col min="1" max="1" width="9.1328125" style="1" customWidth="1"/>
    <col min="2" max="2" width="18.59765625" style="1" customWidth="1"/>
    <col min="3" max="3" width="15.59765625" style="1" customWidth="1"/>
    <col min="4" max="4" width="12.59765625" style="1" customWidth="1"/>
    <col min="5" max="5" width="13.86328125" style="1" customWidth="1"/>
    <col min="6" max="239" width="9.1328125" style="1"/>
    <col min="240" max="242" width="24.73046875" style="1" customWidth="1"/>
    <col min="243" max="495" width="9.1328125" style="1"/>
    <col min="496" max="498" width="24.73046875" style="1" customWidth="1"/>
    <col min="499" max="751" width="9.1328125" style="1"/>
    <col min="752" max="754" width="24.73046875" style="1" customWidth="1"/>
    <col min="755" max="1007" width="9.1328125" style="1"/>
    <col min="1008" max="1010" width="24.73046875" style="1" customWidth="1"/>
    <col min="1011" max="1263" width="9.1328125" style="1"/>
    <col min="1264" max="1266" width="24.73046875" style="1" customWidth="1"/>
    <col min="1267" max="1519" width="9.1328125" style="1"/>
    <col min="1520" max="1522" width="24.73046875" style="1" customWidth="1"/>
    <col min="1523" max="1775" width="9.1328125" style="1"/>
    <col min="1776" max="1778" width="24.73046875" style="1" customWidth="1"/>
    <col min="1779" max="2031" width="9.1328125" style="1"/>
    <col min="2032" max="2034" width="24.73046875" style="1" customWidth="1"/>
    <col min="2035" max="2287" width="9.1328125" style="1"/>
    <col min="2288" max="2290" width="24.73046875" style="1" customWidth="1"/>
    <col min="2291" max="2543" width="9.1328125" style="1"/>
    <col min="2544" max="2546" width="24.73046875" style="1" customWidth="1"/>
    <col min="2547" max="2799" width="9.1328125" style="1"/>
    <col min="2800" max="2802" width="24.73046875" style="1" customWidth="1"/>
    <col min="2803" max="3055" width="9.1328125" style="1"/>
    <col min="3056" max="3058" width="24.73046875" style="1" customWidth="1"/>
    <col min="3059" max="3311" width="9.1328125" style="1"/>
    <col min="3312" max="3314" width="24.73046875" style="1" customWidth="1"/>
    <col min="3315" max="3567" width="9.1328125" style="1"/>
    <col min="3568" max="3570" width="24.73046875" style="1" customWidth="1"/>
    <col min="3571" max="3823" width="9.1328125" style="1"/>
    <col min="3824" max="3826" width="24.73046875" style="1" customWidth="1"/>
    <col min="3827" max="4079" width="9.1328125" style="1"/>
    <col min="4080" max="4082" width="24.73046875" style="1" customWidth="1"/>
    <col min="4083" max="4335" width="9.1328125" style="1"/>
    <col min="4336" max="4338" width="24.73046875" style="1" customWidth="1"/>
    <col min="4339" max="4591" width="9.1328125" style="1"/>
    <col min="4592" max="4594" width="24.73046875" style="1" customWidth="1"/>
    <col min="4595" max="4847" width="9.1328125" style="1"/>
    <col min="4848" max="4850" width="24.73046875" style="1" customWidth="1"/>
    <col min="4851" max="5103" width="9.1328125" style="1"/>
    <col min="5104" max="5106" width="24.73046875" style="1" customWidth="1"/>
    <col min="5107" max="5359" width="9.1328125" style="1"/>
    <col min="5360" max="5362" width="24.73046875" style="1" customWidth="1"/>
    <col min="5363" max="5615" width="9.1328125" style="1"/>
    <col min="5616" max="5618" width="24.73046875" style="1" customWidth="1"/>
    <col min="5619" max="5871" width="9.1328125" style="1"/>
    <col min="5872" max="5874" width="24.73046875" style="1" customWidth="1"/>
    <col min="5875" max="6127" width="9.1328125" style="1"/>
    <col min="6128" max="6130" width="24.73046875" style="1" customWidth="1"/>
    <col min="6131" max="6383" width="9.1328125" style="1"/>
    <col min="6384" max="6386" width="24.73046875" style="1" customWidth="1"/>
    <col min="6387" max="6639" width="9.1328125" style="1"/>
    <col min="6640" max="6642" width="24.73046875" style="1" customWidth="1"/>
    <col min="6643" max="6895" width="9.1328125" style="1"/>
    <col min="6896" max="6898" width="24.73046875" style="1" customWidth="1"/>
    <col min="6899" max="7151" width="9.1328125" style="1"/>
    <col min="7152" max="7154" width="24.73046875" style="1" customWidth="1"/>
    <col min="7155" max="7407" width="9.1328125" style="1"/>
    <col min="7408" max="7410" width="24.73046875" style="1" customWidth="1"/>
    <col min="7411" max="7663" width="9.1328125" style="1"/>
    <col min="7664" max="7666" width="24.73046875" style="1" customWidth="1"/>
    <col min="7667" max="7919" width="9.1328125" style="1"/>
    <col min="7920" max="7922" width="24.73046875" style="1" customWidth="1"/>
    <col min="7923" max="8175" width="9.1328125" style="1"/>
    <col min="8176" max="8178" width="24.73046875" style="1" customWidth="1"/>
    <col min="8179" max="8431" width="9.1328125" style="1"/>
    <col min="8432" max="8434" width="24.73046875" style="1" customWidth="1"/>
    <col min="8435" max="8687" width="9.1328125" style="1"/>
    <col min="8688" max="8690" width="24.73046875" style="1" customWidth="1"/>
    <col min="8691" max="8943" width="9.1328125" style="1"/>
    <col min="8944" max="8946" width="24.73046875" style="1" customWidth="1"/>
    <col min="8947" max="9199" width="9.1328125" style="1"/>
    <col min="9200" max="9202" width="24.73046875" style="1" customWidth="1"/>
    <col min="9203" max="9455" width="9.1328125" style="1"/>
    <col min="9456" max="9458" width="24.73046875" style="1" customWidth="1"/>
    <col min="9459" max="9711" width="9.1328125" style="1"/>
    <col min="9712" max="9714" width="24.73046875" style="1" customWidth="1"/>
    <col min="9715" max="9967" width="9.1328125" style="1"/>
    <col min="9968" max="9970" width="24.73046875" style="1" customWidth="1"/>
    <col min="9971" max="10223" width="9.1328125" style="1"/>
    <col min="10224" max="10226" width="24.73046875" style="1" customWidth="1"/>
    <col min="10227" max="10479" width="9.1328125" style="1"/>
    <col min="10480" max="10482" width="24.73046875" style="1" customWidth="1"/>
    <col min="10483" max="10735" width="9.1328125" style="1"/>
    <col min="10736" max="10738" width="24.73046875" style="1" customWidth="1"/>
    <col min="10739" max="10991" width="9.1328125" style="1"/>
    <col min="10992" max="10994" width="24.73046875" style="1" customWidth="1"/>
    <col min="10995" max="11247" width="9.1328125" style="1"/>
    <col min="11248" max="11250" width="24.73046875" style="1" customWidth="1"/>
    <col min="11251" max="11503" width="9.1328125" style="1"/>
    <col min="11504" max="11506" width="24.73046875" style="1" customWidth="1"/>
    <col min="11507" max="11759" width="9.1328125" style="1"/>
    <col min="11760" max="11762" width="24.73046875" style="1" customWidth="1"/>
    <col min="11763" max="12015" width="9.1328125" style="1"/>
    <col min="12016" max="12018" width="24.73046875" style="1" customWidth="1"/>
    <col min="12019" max="12271" width="9.1328125" style="1"/>
    <col min="12272" max="12274" width="24.73046875" style="1" customWidth="1"/>
    <col min="12275" max="12527" width="9.1328125" style="1"/>
    <col min="12528" max="12530" width="24.73046875" style="1" customWidth="1"/>
    <col min="12531" max="12783" width="9.1328125" style="1"/>
    <col min="12784" max="12786" width="24.73046875" style="1" customWidth="1"/>
    <col min="12787" max="13039" width="9.1328125" style="1"/>
    <col min="13040" max="13042" width="24.73046875" style="1" customWidth="1"/>
    <col min="13043" max="13295" width="9.1328125" style="1"/>
    <col min="13296" max="13298" width="24.73046875" style="1" customWidth="1"/>
    <col min="13299" max="13551" width="9.1328125" style="1"/>
    <col min="13552" max="13554" width="24.73046875" style="1" customWidth="1"/>
    <col min="13555" max="13807" width="9.1328125" style="1"/>
    <col min="13808" max="13810" width="24.73046875" style="1" customWidth="1"/>
    <col min="13811" max="14063" width="9.1328125" style="1"/>
    <col min="14064" max="14066" width="24.73046875" style="1" customWidth="1"/>
    <col min="14067" max="14319" width="9.1328125" style="1"/>
    <col min="14320" max="14322" width="24.73046875" style="1" customWidth="1"/>
    <col min="14323" max="14575" width="9.1328125" style="1"/>
    <col min="14576" max="14578" width="24.73046875" style="1" customWidth="1"/>
    <col min="14579" max="14831" width="9.1328125" style="1"/>
    <col min="14832" max="14834" width="24.73046875" style="1" customWidth="1"/>
    <col min="14835" max="15087" width="9.1328125" style="1"/>
    <col min="15088" max="15090" width="24.73046875" style="1" customWidth="1"/>
    <col min="15091" max="15343" width="9.1328125" style="1"/>
    <col min="15344" max="15346" width="24.73046875" style="1" customWidth="1"/>
    <col min="15347" max="15599" width="9.1328125" style="1"/>
    <col min="15600" max="15602" width="24.73046875" style="1" customWidth="1"/>
    <col min="15603" max="15855" width="9.1328125" style="1"/>
    <col min="15856" max="15858" width="24.73046875" style="1" customWidth="1"/>
    <col min="15859" max="16111" width="9.1328125" style="1"/>
    <col min="16112" max="16114" width="24.73046875" style="1" customWidth="1"/>
    <col min="16115" max="16384" width="9.1328125" style="1"/>
  </cols>
  <sheetData>
    <row r="1" spans="1:5">
      <c r="A1" s="524" t="str">
        <f>IF(språk=lista[[#Headers],[Svenska]],"Innehåll",IF(språk=lista[[#Headers],[English]],"Contents","FEL"))</f>
        <v>Contents</v>
      </c>
    </row>
    <row r="3" spans="1:5" ht="15.75">
      <c r="A3" s="437" t="str">
        <f>IFERROR(INDEX(lista[],MATCH($A5,lista[ID],0),MATCH(språk,lista[#Headers],0)),"")</f>
        <v>Share of renewables in energy use in Sweden, from 1990, percent</v>
      </c>
      <c r="B3" s="437"/>
      <c r="C3" s="437"/>
      <c r="D3" s="437"/>
      <c r="E3" s="437"/>
    </row>
    <row r="4" spans="1:5" ht="15.75">
      <c r="A4" s="437"/>
      <c r="B4" s="437"/>
      <c r="C4" s="437"/>
      <c r="D4" s="437"/>
      <c r="E4" s="437"/>
    </row>
    <row r="5" spans="1:5" ht="15.75" hidden="1">
      <c r="A5" s="265">
        <v>87</v>
      </c>
      <c r="B5" s="4" t="s">
        <v>647</v>
      </c>
      <c r="C5" s="4" t="s">
        <v>648</v>
      </c>
      <c r="D5" s="4" t="s">
        <v>649</v>
      </c>
      <c r="E5" s="4" t="s">
        <v>650</v>
      </c>
    </row>
    <row r="6" spans="1:5" s="447" customFormat="1" ht="26.25">
      <c r="A6" s="58"/>
      <c r="B6" s="446" t="str">
        <f>IFERROR(INDEX(_13.1[],MATCH(språk,_13.1[[id]:[id]],0),MATCH(B$5,_13.1[#Headers],0)),"")</f>
        <v>Share of energy from renewable sources</v>
      </c>
      <c r="C6" s="446" t="str">
        <f>IFERROR(INDEX(_13.1[],MATCH(språk,_13.1[[id]:[id]],0),MATCH(C$5,_13.1[#Headers],0)),"")</f>
        <v>Heating, cooling, industrial etc.</v>
      </c>
      <c r="D6" s="446" t="str">
        <f>IFERROR(INDEX(_13.1[],MATCH(språk,_13.1[[id]:[id]],0),MATCH(D$5,_13.1[#Headers],0)),"")</f>
        <v>Electricity</v>
      </c>
      <c r="E6" s="446" t="str">
        <f>IFERROR(INDEX(_13.1[],MATCH(språk,_13.1[[id]:[id]],0),MATCH(E$5,_13.1[#Headers],0)),"")</f>
        <v>Transports</v>
      </c>
    </row>
    <row r="7" spans="1:5" ht="15.95" customHeight="1">
      <c r="A7" s="843">
        <v>1990</v>
      </c>
      <c r="B7" s="844">
        <v>33.283733049365374</v>
      </c>
      <c r="C7" s="844"/>
      <c r="D7" s="844"/>
      <c r="E7" s="844"/>
    </row>
    <row r="8" spans="1:5" ht="15.95" customHeight="1">
      <c r="A8" s="58">
        <v>1991</v>
      </c>
      <c r="B8" s="200">
        <v>34.028071221803707</v>
      </c>
      <c r="C8" s="200"/>
      <c r="D8" s="200"/>
      <c r="E8" s="200"/>
    </row>
    <row r="9" spans="1:5" ht="15.95" customHeight="1">
      <c r="A9" s="845">
        <v>1992</v>
      </c>
      <c r="B9" s="764">
        <v>34.900242491728584</v>
      </c>
      <c r="C9" s="764"/>
      <c r="D9" s="764"/>
      <c r="E9" s="764"/>
    </row>
    <row r="10" spans="1:5" ht="15.95" customHeight="1">
      <c r="A10" s="58">
        <v>1993</v>
      </c>
      <c r="B10" s="200">
        <v>35.503036380982614</v>
      </c>
      <c r="C10" s="200"/>
      <c r="D10" s="200"/>
      <c r="E10" s="200"/>
    </row>
    <row r="11" spans="1:5" ht="15.95" customHeight="1">
      <c r="A11" s="845">
        <v>1994</v>
      </c>
      <c r="B11" s="764">
        <v>35.669116070857541</v>
      </c>
      <c r="C11" s="764"/>
      <c r="D11" s="764"/>
      <c r="E11" s="764"/>
    </row>
    <row r="12" spans="1:5" ht="15.95" customHeight="1">
      <c r="A12" s="58">
        <v>1995</v>
      </c>
      <c r="B12" s="200">
        <v>35.563766623304957</v>
      </c>
      <c r="C12" s="200"/>
      <c r="D12" s="200"/>
      <c r="E12" s="200"/>
    </row>
    <row r="13" spans="1:5" ht="15.95" customHeight="1">
      <c r="A13" s="845">
        <v>1996</v>
      </c>
      <c r="B13" s="764">
        <v>35.955813153174347</v>
      </c>
      <c r="C13" s="764"/>
      <c r="D13" s="764"/>
      <c r="E13" s="764"/>
    </row>
    <row r="14" spans="1:5" ht="15.95" customHeight="1">
      <c r="A14" s="58">
        <v>1997</v>
      </c>
      <c r="B14" s="200">
        <v>37.290706967732902</v>
      </c>
      <c r="C14" s="200"/>
      <c r="D14" s="200"/>
      <c r="E14" s="200"/>
    </row>
    <row r="15" spans="1:5" ht="15.95" customHeight="1">
      <c r="A15" s="845">
        <v>1998</v>
      </c>
      <c r="B15" s="764">
        <v>37.365631637145064</v>
      </c>
      <c r="C15" s="764"/>
      <c r="D15" s="764"/>
      <c r="E15" s="764"/>
    </row>
    <row r="16" spans="1:5" ht="15.95" customHeight="1">
      <c r="A16" s="58">
        <v>1999</v>
      </c>
      <c r="B16" s="200">
        <v>37.849283498657478</v>
      </c>
      <c r="C16" s="200"/>
      <c r="D16" s="200"/>
      <c r="E16" s="200"/>
    </row>
    <row r="17" spans="1:5" ht="15.95" customHeight="1">
      <c r="A17" s="845">
        <v>2000</v>
      </c>
      <c r="B17" s="764">
        <v>38.406997278540416</v>
      </c>
      <c r="C17" s="764"/>
      <c r="D17" s="764"/>
      <c r="E17" s="764"/>
    </row>
    <row r="18" spans="1:5" ht="15.95" customHeight="1">
      <c r="A18" s="58">
        <v>2001</v>
      </c>
      <c r="B18" s="200">
        <v>38.799999999999997</v>
      </c>
      <c r="C18" s="200"/>
      <c r="D18" s="200"/>
      <c r="E18" s="200"/>
    </row>
    <row r="19" spans="1:5" ht="15.95" customHeight="1">
      <c r="A19" s="845">
        <v>2002</v>
      </c>
      <c r="B19" s="764">
        <v>39.200000000000003</v>
      </c>
      <c r="C19" s="764"/>
      <c r="D19" s="764"/>
      <c r="E19" s="764"/>
    </row>
    <row r="20" spans="1:5" ht="15.95" customHeight="1">
      <c r="A20" s="58">
        <v>2003</v>
      </c>
      <c r="B20" s="200">
        <v>39.700000000000003</v>
      </c>
      <c r="C20" s="200"/>
      <c r="D20" s="200"/>
      <c r="E20" s="200"/>
    </row>
    <row r="21" spans="1:5" ht="15.95" customHeight="1">
      <c r="A21" s="845">
        <v>2004</v>
      </c>
      <c r="B21" s="764">
        <v>40.1</v>
      </c>
      <c r="C21" s="764"/>
      <c r="D21" s="764"/>
      <c r="E21" s="764"/>
    </row>
    <row r="22" spans="1:5" ht="15.95" customHeight="1">
      <c r="A22" s="58">
        <v>2005</v>
      </c>
      <c r="B22" s="200">
        <v>40.58</v>
      </c>
      <c r="C22" s="200">
        <v>51.88</v>
      </c>
      <c r="D22" s="200">
        <v>50.88</v>
      </c>
      <c r="E22" s="200">
        <v>3.85</v>
      </c>
    </row>
    <row r="23" spans="1:5" ht="15.95" customHeight="1">
      <c r="A23" s="845">
        <v>2006</v>
      </c>
      <c r="B23" s="764">
        <v>42.66</v>
      </c>
      <c r="C23" s="764">
        <v>56.35</v>
      </c>
      <c r="D23" s="764">
        <v>51.749999999999993</v>
      </c>
      <c r="E23" s="764">
        <v>4.74</v>
      </c>
    </row>
    <row r="24" spans="1:5" ht="15.95" customHeight="1">
      <c r="A24" s="58">
        <v>2007</v>
      </c>
      <c r="B24" s="200">
        <v>44.18</v>
      </c>
      <c r="C24" s="200">
        <v>58.75</v>
      </c>
      <c r="D24" s="200">
        <v>53.16</v>
      </c>
      <c r="E24" s="200">
        <v>5.67</v>
      </c>
    </row>
    <row r="25" spans="1:5" ht="15.95" customHeight="1">
      <c r="A25" s="845">
        <v>2008</v>
      </c>
      <c r="B25" s="764">
        <v>45.269999999999996</v>
      </c>
      <c r="C25" s="764">
        <v>61.06</v>
      </c>
      <c r="D25" s="764">
        <v>53.569999999999993</v>
      </c>
      <c r="E25" s="764">
        <v>6.3299999999999992</v>
      </c>
    </row>
    <row r="26" spans="1:5" ht="15.95" customHeight="1">
      <c r="A26" s="58">
        <v>2009</v>
      </c>
      <c r="B26" s="200">
        <v>48.19</v>
      </c>
      <c r="C26" s="200">
        <v>63.629999999999995</v>
      </c>
      <c r="D26" s="200">
        <v>58.28</v>
      </c>
      <c r="E26" s="200">
        <v>6.8500000000000005</v>
      </c>
    </row>
    <row r="27" spans="1:5" ht="15.95" customHeight="1">
      <c r="A27" s="845">
        <v>2010</v>
      </c>
      <c r="B27" s="764">
        <v>47.23</v>
      </c>
      <c r="C27" s="764">
        <v>60.95</v>
      </c>
      <c r="D27" s="764">
        <v>55.989999999999995</v>
      </c>
      <c r="E27" s="764">
        <v>7.23</v>
      </c>
    </row>
    <row r="28" spans="1:5" ht="15.95" customHeight="1">
      <c r="A28" s="58">
        <v>2011</v>
      </c>
      <c r="B28" s="200">
        <v>48.97</v>
      </c>
      <c r="C28" s="200">
        <v>62.49</v>
      </c>
      <c r="D28" s="200">
        <v>59.88</v>
      </c>
      <c r="E28" s="200">
        <v>9.99</v>
      </c>
    </row>
    <row r="29" spans="1:5" ht="15.95" customHeight="1">
      <c r="A29" s="845">
        <v>2012</v>
      </c>
      <c r="B29" s="764">
        <v>51.12</v>
      </c>
      <c r="C29" s="764">
        <v>65.790000000000006</v>
      </c>
      <c r="D29" s="764">
        <v>59.96</v>
      </c>
      <c r="E29" s="764">
        <v>12.620000000000001</v>
      </c>
    </row>
    <row r="30" spans="1:5" ht="15.95" customHeight="1">
      <c r="A30" s="58">
        <v>2013</v>
      </c>
      <c r="B30" s="200">
        <v>51.970000000000006</v>
      </c>
      <c r="C30" s="200">
        <v>67.069999999999993</v>
      </c>
      <c r="D30" s="200">
        <v>61.809999999999995</v>
      </c>
      <c r="E30" s="200">
        <v>17.010000000000002</v>
      </c>
    </row>
    <row r="31" spans="1:5" ht="15.95" customHeight="1">
      <c r="A31" s="845">
        <v>2014</v>
      </c>
      <c r="B31" s="764">
        <v>52.6</v>
      </c>
      <c r="C31" s="764">
        <v>68.069999999999993</v>
      </c>
      <c r="D31" s="764">
        <v>63.27</v>
      </c>
      <c r="E31" s="764">
        <v>19.220000000000002</v>
      </c>
    </row>
    <row r="32" spans="1:5">
      <c r="B32" s="4"/>
      <c r="C32" s="4"/>
      <c r="D32" s="4"/>
      <c r="E32" s="4"/>
    </row>
    <row r="33" spans="1:5">
      <c r="A33" s="59" t="s">
        <v>218</v>
      </c>
    </row>
    <row r="34" spans="1:5" ht="12.75" customHeight="1">
      <c r="A34" s="1063" t="s">
        <v>492</v>
      </c>
      <c r="B34" s="1063"/>
      <c r="C34" s="1063"/>
      <c r="D34" s="1063"/>
      <c r="E34" s="1063"/>
    </row>
    <row r="35" spans="1:5">
      <c r="A35" s="1" t="s">
        <v>511</v>
      </c>
    </row>
  </sheetData>
  <mergeCells count="1">
    <mergeCell ref="A34:E3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tabColor theme="6" tint="0.39997558519241921"/>
  </sheetPr>
  <dimension ref="A1:R48"/>
  <sheetViews>
    <sheetView topLeftCell="B1" zoomScaleNormal="100" workbookViewId="0">
      <selection activeCell="B1" sqref="B1"/>
    </sheetView>
  </sheetViews>
  <sheetFormatPr defaultColWidth="9.1328125" defaultRowHeight="13.15"/>
  <cols>
    <col min="1" max="1" width="9.1328125" style="1" hidden="1" customWidth="1"/>
    <col min="2" max="2" width="31.3984375" style="1" customWidth="1"/>
    <col min="3" max="7" width="10.73046875" style="1" customWidth="1"/>
    <col min="8" max="8" width="13" style="1" customWidth="1"/>
    <col min="9" max="16384" width="9.1328125" style="1"/>
  </cols>
  <sheetData>
    <row r="1" spans="1:8" ht="15.95" customHeight="1">
      <c r="B1" s="524" t="str">
        <f>IF(språk=lista[[#Headers],[Svenska]],"Innehåll",IF(språk=lista[[#Headers],[English]],"Contents","FEL"))</f>
        <v>Contents</v>
      </c>
    </row>
    <row r="2" spans="1:8" ht="15.95" customHeight="1"/>
    <row r="3" spans="1:8" ht="15.95" customHeight="1">
      <c r="B3" s="421" t="str">
        <f>IFERROR(INDEX(lista[],MATCH($B5,lista[ID],0),MATCH(språk,lista[#Headers],0)),"")</f>
        <v>General energy and environmental taxes, from 1 January 2017</v>
      </c>
      <c r="C3" s="421"/>
      <c r="D3" s="421"/>
      <c r="E3" s="421"/>
      <c r="F3" s="421"/>
      <c r="G3" s="421"/>
      <c r="H3" s="421"/>
    </row>
    <row r="4" spans="1:8" s="272" customFormat="1" ht="15.95" customHeight="1">
      <c r="B4" s="397"/>
    </row>
    <row r="5" spans="1:8" s="272" customFormat="1" ht="15.95" hidden="1" customHeight="1">
      <c r="B5" s="397">
        <v>88</v>
      </c>
      <c r="C5" s="272" t="s">
        <v>647</v>
      </c>
      <c r="D5" s="272" t="s">
        <v>648</v>
      </c>
      <c r="E5" s="272" t="s">
        <v>649</v>
      </c>
      <c r="F5" s="272" t="s">
        <v>650</v>
      </c>
      <c r="G5" s="272" t="s">
        <v>651</v>
      </c>
      <c r="H5" s="272" t="s">
        <v>652</v>
      </c>
    </row>
    <row r="6" spans="1:8" s="130" customFormat="1" ht="26.25">
      <c r="B6" s="128"/>
      <c r="C6" s="129" t="str">
        <f>IFERROR(INDEX(_13.2[],MATCH(språk,_13.2[[id]:[id]],0),MATCH(C$5,_13.2[#Headers],0)),"")</f>
        <v>Unit</v>
      </c>
      <c r="D6" s="129" t="str">
        <f>IFERROR(INDEX(_13.2[],MATCH(språk,_13.2[[id]:[id]],0),MATCH(D$5,_13.2[#Headers],0)),"")</f>
        <v>Energy tax</v>
      </c>
      <c r="E6" s="129" t="str">
        <f>IFERROR(INDEX(_13.2[],MATCH(språk,_13.2[[id]:[id]],0),MATCH(E$5,_13.2[#Headers],0)),"")</f>
        <v>CO2 tax</v>
      </c>
      <c r="F6" s="129" t="str">
        <f>IFERROR(INDEX(_13.2[],MATCH(språk,_13.2[[id]:[id]],0),MATCH(F$5,_13.2[#Headers],0)),"")</f>
        <v>Sulphur tax</v>
      </c>
      <c r="G6" s="129" t="str">
        <f>IFERROR(INDEX(_13.2[],MATCH(språk,_13.2[[id]:[id]],0),MATCH(G$5,_13.2[#Headers],0)),"")</f>
        <v>Total tax</v>
      </c>
      <c r="H6" s="129" t="str">
        <f>IFERROR(INDEX(_13.2[],MATCH(språk,_13.2[[id]:[id]],0),MATCH(H$5,_13.2[#Headers],0)),"")</f>
        <v>Total tax öre/kWh</v>
      </c>
    </row>
    <row r="7" spans="1:8" ht="15.95" customHeight="1">
      <c r="A7" s="1">
        <v>192</v>
      </c>
      <c r="B7" s="795" t="str">
        <f>IFERROR(INDEX(lista[],MATCH($A7,lista[ID],0),MATCH(språk,lista[#Headers],0)),"")</f>
        <v>Fuels</v>
      </c>
      <c r="C7" s="796"/>
      <c r="D7" s="796"/>
      <c r="E7" s="796"/>
      <c r="F7" s="796"/>
      <c r="G7" s="797"/>
      <c r="H7" s="797"/>
    </row>
    <row r="8" spans="1:8" ht="15.95" customHeight="1">
      <c r="A8" s="1">
        <v>193</v>
      </c>
      <c r="B8" s="638" t="str">
        <f>IFERROR(INDEX(lista[],MATCH($A8,lista[ID],0),MATCH(språk,lista[#Headers],0)),"")</f>
        <v>Heating oil, ( &lt;0,05 % sulphur)</v>
      </c>
      <c r="C8" s="202" t="s">
        <v>271</v>
      </c>
      <c r="D8" s="202">
        <v>855</v>
      </c>
      <c r="E8" s="202">
        <v>3237</v>
      </c>
      <c r="F8" s="202" t="s">
        <v>6</v>
      </c>
      <c r="G8" s="602">
        <v>4092</v>
      </c>
      <c r="H8" s="679">
        <v>41.125628140703526</v>
      </c>
    </row>
    <row r="9" spans="1:8" ht="15.95" customHeight="1">
      <c r="A9" s="1">
        <v>194</v>
      </c>
      <c r="B9" s="846" t="str">
        <f>IFERROR(INDEX(lista[],MATCH($A9,lista[ID],0),MATCH(språk,lista[#Headers],0)),"")</f>
        <v>Heavy fuel oil, (0,4 % sulphur)</v>
      </c>
      <c r="C9" s="796" t="s">
        <v>271</v>
      </c>
      <c r="D9" s="796">
        <v>855</v>
      </c>
      <c r="E9" s="796">
        <v>3237</v>
      </c>
      <c r="F9" s="796">
        <v>108</v>
      </c>
      <c r="G9" s="797">
        <v>4200</v>
      </c>
      <c r="H9" s="847">
        <v>39.069767441860463</v>
      </c>
    </row>
    <row r="10" spans="1:8" ht="15.95" customHeight="1">
      <c r="A10" s="1">
        <v>195</v>
      </c>
      <c r="B10" s="638" t="str">
        <f>IFERROR(INDEX(lista[],MATCH($A10,lista[ID],0),MATCH(språk,lista[#Headers],0)),"")</f>
        <v>Coal, (0,5 % sulphur)</v>
      </c>
      <c r="C10" s="202" t="s">
        <v>178</v>
      </c>
      <c r="D10" s="202">
        <v>650</v>
      </c>
      <c r="E10" s="202">
        <v>2817</v>
      </c>
      <c r="F10" s="202">
        <v>150</v>
      </c>
      <c r="G10" s="602">
        <v>3617</v>
      </c>
      <c r="H10" s="679">
        <v>47.843915343915356</v>
      </c>
    </row>
    <row r="11" spans="1:8" ht="15.95" customHeight="1">
      <c r="A11" s="1">
        <v>196</v>
      </c>
      <c r="B11" s="846" t="str">
        <f>IFERROR(INDEX(lista[],MATCH($A11,lista[ID],0),MATCH(språk,lista[#Headers],0)),"")</f>
        <v>LPG</v>
      </c>
      <c r="C11" s="796" t="s">
        <v>178</v>
      </c>
      <c r="D11" s="796">
        <v>1098</v>
      </c>
      <c r="E11" s="796">
        <v>3405</v>
      </c>
      <c r="F11" s="796" t="s">
        <v>6</v>
      </c>
      <c r="G11" s="797">
        <v>4503</v>
      </c>
      <c r="H11" s="847">
        <v>35.207193119624712</v>
      </c>
    </row>
    <row r="12" spans="1:8" ht="15.95" customHeight="1">
      <c r="A12" s="1">
        <v>197</v>
      </c>
      <c r="B12" s="638" t="str">
        <f>IFERROR(INDEX(lista[],MATCH($A12,lista[ID],0),MATCH(språk,lista[#Headers],0)),"")</f>
        <v>Natural gas</v>
      </c>
      <c r="C12" s="202" t="s">
        <v>272</v>
      </c>
      <c r="D12" s="202">
        <v>945</v>
      </c>
      <c r="E12" s="202">
        <v>2424</v>
      </c>
      <c r="F12" s="202" t="s">
        <v>6</v>
      </c>
      <c r="G12" s="602">
        <v>3369</v>
      </c>
      <c r="H12" s="679">
        <v>30.795246800731267</v>
      </c>
    </row>
    <row r="13" spans="1:8" ht="15.95" customHeight="1">
      <c r="A13" s="1">
        <v>198</v>
      </c>
      <c r="B13" s="846" t="str">
        <f>IFERROR(INDEX(lista[],MATCH($A13,lista[ID],0),MATCH(språk,lista[#Headers],0)),"")</f>
        <v>Crude tall oil</v>
      </c>
      <c r="C13" s="796" t="s">
        <v>271</v>
      </c>
      <c r="D13" s="796">
        <v>4092</v>
      </c>
      <c r="E13" s="796" t="s">
        <v>6</v>
      </c>
      <c r="F13" s="796" t="s">
        <v>6</v>
      </c>
      <c r="G13" s="797">
        <v>4092</v>
      </c>
      <c r="H13" s="847">
        <v>41.739073210858244</v>
      </c>
    </row>
    <row r="14" spans="1:8" ht="15.95" customHeight="1">
      <c r="A14" s="1">
        <v>199</v>
      </c>
      <c r="B14" s="638" t="str">
        <f>IFERROR(INDEX(lista[],MATCH($A14,lista[ID],0),MATCH(språk,lista[#Headers],0)),"")</f>
        <v>Peat, 45 % moisture content (0,24 % sulphur)</v>
      </c>
      <c r="C14" s="202" t="s">
        <v>178</v>
      </c>
      <c r="D14" s="202" t="s">
        <v>6</v>
      </c>
      <c r="E14" s="202" t="s">
        <v>6</v>
      </c>
      <c r="F14" s="202">
        <v>39.6</v>
      </c>
      <c r="G14" s="602">
        <v>39.6</v>
      </c>
      <c r="H14" s="679">
        <v>1.4142857142857146</v>
      </c>
    </row>
    <row r="15" spans="1:8" s="521" customFormat="1" ht="15.95" customHeight="1">
      <c r="A15" s="1">
        <v>200</v>
      </c>
      <c r="B15" s="795" t="str">
        <f>IFERROR(INDEX(lista[],MATCH($A15,lista[ID],0),MATCH(språk,lista[#Headers],0)),"")</f>
        <v>Motor fuels</v>
      </c>
      <c r="C15" s="797"/>
      <c r="D15" s="848"/>
      <c r="E15" s="848"/>
      <c r="F15" s="848"/>
      <c r="G15" s="847"/>
      <c r="H15" s="847"/>
    </row>
    <row r="16" spans="1:8" ht="15.95" customHeight="1">
      <c r="A16" s="1">
        <v>201</v>
      </c>
      <c r="B16" s="638" t="str">
        <f>IFERROR(INDEX(lista[],MATCH($A16,lista[ID],0),MATCH(språk,lista[#Headers],0)),"")</f>
        <v>Petrol, unleaded, environmental class 1</v>
      </c>
      <c r="C16" s="202" t="s">
        <v>182</v>
      </c>
      <c r="D16" s="681">
        <v>3.88</v>
      </c>
      <c r="E16" s="681">
        <v>2.62</v>
      </c>
      <c r="F16" s="681" t="s">
        <v>6</v>
      </c>
      <c r="G16" s="679">
        <v>6.5</v>
      </c>
      <c r="H16" s="679">
        <v>71.428571428571431</v>
      </c>
    </row>
    <row r="17" spans="1:18" ht="15.95" customHeight="1">
      <c r="A17" s="1">
        <v>202</v>
      </c>
      <c r="B17" s="846" t="str">
        <f>IFERROR(INDEX(lista[],MATCH($A17,lista[ID],0),MATCH(språk,lista[#Headers],0)),"")</f>
        <v>Ethanol, low-blended</v>
      </c>
      <c r="C17" s="796" t="s">
        <v>182</v>
      </c>
      <c r="D17" s="849">
        <v>0.46559999999999996</v>
      </c>
      <c r="E17" s="849"/>
      <c r="F17" s="849"/>
      <c r="G17" s="847">
        <v>0.46559999999999996</v>
      </c>
      <c r="H17" s="847">
        <v>7.9862778730703257</v>
      </c>
    </row>
    <row r="18" spans="1:18" ht="15.95" customHeight="1">
      <c r="A18" s="1">
        <v>203</v>
      </c>
      <c r="B18" s="638" t="str">
        <f>IFERROR(INDEX(lista[],MATCH($A18,lista[ID],0),MATCH(språk,lista[#Headers],0)),"")</f>
        <v>Diesel, environmental class 1</v>
      </c>
      <c r="C18" s="202" t="s">
        <v>182</v>
      </c>
      <c r="D18" s="681">
        <v>2.4900000000000002</v>
      </c>
      <c r="E18" s="681">
        <v>3.2370000000000001</v>
      </c>
      <c r="F18" s="681"/>
      <c r="G18" s="1020">
        <v>5.7270000000000003</v>
      </c>
      <c r="H18" s="1020">
        <v>58.438775510204074</v>
      </c>
      <c r="L18" s="98"/>
      <c r="M18" s="98"/>
      <c r="N18" s="98"/>
      <c r="O18" s="98"/>
      <c r="P18" s="98"/>
      <c r="Q18" s="98"/>
      <c r="R18" s="98"/>
    </row>
    <row r="19" spans="1:18" ht="15.95" customHeight="1">
      <c r="A19" s="1">
        <v>204</v>
      </c>
      <c r="B19" s="846" t="str">
        <f>IFERROR(INDEX(lista[],MATCH($A19,lista[ID],0),MATCH(språk,lista[#Headers],0)),"")</f>
        <v>Ethanol in E85</v>
      </c>
      <c r="C19" s="796" t="s">
        <v>182</v>
      </c>
      <c r="D19" s="849">
        <v>0.31040000000000001</v>
      </c>
      <c r="E19" s="849"/>
      <c r="F19" s="849" t="s">
        <v>6</v>
      </c>
      <c r="G19" s="847">
        <v>0.31040000000000001</v>
      </c>
      <c r="H19" s="847">
        <v>5.3241852487135501</v>
      </c>
      <c r="J19" s="1019"/>
      <c r="K19" s="679"/>
      <c r="L19" s="679"/>
      <c r="M19" s="98"/>
      <c r="N19" s="98"/>
      <c r="O19" s="98"/>
      <c r="P19" s="98"/>
      <c r="Q19" s="98"/>
      <c r="R19" s="98"/>
    </row>
    <row r="20" spans="1:18" ht="15.95" customHeight="1">
      <c r="A20" s="1">
        <v>205</v>
      </c>
      <c r="B20" s="638" t="str">
        <f>IFERROR(INDEX(lista[],MATCH($A20,lista[ID],0),MATCH(språk,lista[#Headers],0)),"")</f>
        <v>FAME, low-blended</v>
      </c>
      <c r="C20" s="202" t="s">
        <v>182</v>
      </c>
      <c r="D20" s="681">
        <v>1.5936000000000001</v>
      </c>
      <c r="E20" s="681"/>
      <c r="F20" s="681"/>
      <c r="G20" s="679">
        <v>1.5936000000000001</v>
      </c>
      <c r="H20" s="679">
        <v>17.378407851690298</v>
      </c>
      <c r="J20" s="1019"/>
      <c r="L20" s="717"/>
      <c r="M20" s="719"/>
      <c r="N20" s="717"/>
      <c r="O20" s="719"/>
      <c r="P20" s="720"/>
      <c r="Q20" s="98"/>
      <c r="R20" s="98"/>
    </row>
    <row r="21" spans="1:18" ht="15.95" customHeight="1">
      <c r="A21" s="1">
        <v>206</v>
      </c>
      <c r="B21" s="846" t="str">
        <f>IFERROR(INDEX(lista[],MATCH($A21,lista[ID],0),MATCH(språk,lista[#Headers],0)),"")</f>
        <v>FAME, high-blended</v>
      </c>
      <c r="C21" s="796" t="s">
        <v>182</v>
      </c>
      <c r="D21" s="849">
        <v>0.92130000000000012</v>
      </c>
      <c r="E21" s="849"/>
      <c r="F21" s="849"/>
      <c r="G21" s="847">
        <v>0.92130000000000012</v>
      </c>
      <c r="H21" s="847">
        <v>10.046892039258452</v>
      </c>
      <c r="L21" s="717"/>
      <c r="M21" s="719"/>
      <c r="N21" s="721"/>
      <c r="O21" s="722"/>
      <c r="P21" s="720"/>
      <c r="Q21" s="98"/>
      <c r="R21" s="98"/>
    </row>
    <row r="22" spans="1:18" ht="15.95" customHeight="1">
      <c r="A22" s="1">
        <v>207</v>
      </c>
      <c r="B22" s="638" t="str">
        <f>IFERROR(INDEX(lista[],MATCH($A22,lista[ID],0),MATCH(språk,lista[#Headers],0)),"")</f>
        <v>Natural gas/methane</v>
      </c>
      <c r="C22" s="202" t="s">
        <v>271</v>
      </c>
      <c r="D22" s="202" t="s">
        <v>6</v>
      </c>
      <c r="E22" s="681">
        <v>2.4239999999999999</v>
      </c>
      <c r="F22" s="202" t="s">
        <v>6</v>
      </c>
      <c r="G22" s="679">
        <v>2.4239999999999999</v>
      </c>
      <c r="H22" s="679">
        <v>24.989690721649485</v>
      </c>
      <c r="L22" s="721"/>
      <c r="M22" s="722"/>
      <c r="N22" s="717"/>
      <c r="O22" s="722"/>
      <c r="P22" s="720"/>
      <c r="Q22" s="98"/>
      <c r="R22" s="98"/>
    </row>
    <row r="23" spans="1:18" s="521" customFormat="1" ht="15.95" customHeight="1">
      <c r="A23" s="1">
        <v>208</v>
      </c>
      <c r="B23" s="846" t="str">
        <f>IFERROR(INDEX(lista[],MATCH($A23,lista[ID],0),MATCH(språk,lista[#Headers],0)),"")</f>
        <v>LPG</v>
      </c>
      <c r="C23" s="796" t="s">
        <v>387</v>
      </c>
      <c r="D23" s="850" t="s">
        <v>6</v>
      </c>
      <c r="E23" s="849">
        <v>3.4049999999999998</v>
      </c>
      <c r="F23" s="850" t="s">
        <v>6</v>
      </c>
      <c r="G23" s="847">
        <v>3.4049999999999998</v>
      </c>
      <c r="H23" s="847">
        <v>26.622361219702896</v>
      </c>
      <c r="L23" s="721"/>
      <c r="M23" s="722"/>
      <c r="N23" s="717"/>
      <c r="O23" s="722"/>
      <c r="P23" s="720"/>
      <c r="Q23" s="523"/>
      <c r="R23" s="523"/>
    </row>
    <row r="24" spans="1:18" ht="15.95" customHeight="1">
      <c r="A24" s="1">
        <v>209</v>
      </c>
      <c r="B24" s="131" t="str">
        <f>IFERROR(INDEX(lista[],MATCH($A24,lista[ID],0),MATCH(språk,lista[#Headers],0)),"")</f>
        <v>Electricity use</v>
      </c>
      <c r="C24" s="202"/>
      <c r="D24" s="680"/>
      <c r="E24" s="680"/>
      <c r="F24" s="680"/>
      <c r="G24" s="679"/>
      <c r="H24" s="679"/>
      <c r="L24" s="721"/>
      <c r="M24" s="722"/>
      <c r="N24" s="721"/>
      <c r="O24" s="722"/>
      <c r="P24" s="720"/>
      <c r="Q24" s="98"/>
      <c r="R24" s="98"/>
    </row>
    <row r="25" spans="1:18" ht="15.95" customHeight="1">
      <c r="A25" s="1">
        <v>210</v>
      </c>
      <c r="B25" s="846" t="str">
        <f>IFERROR(INDEX(lista[],MATCH($A25,lista[ID],0),MATCH(språk,lista[#Headers],0)),"")</f>
        <v>Electricity, northern Sweden</v>
      </c>
      <c r="C25" s="796" t="s">
        <v>188</v>
      </c>
      <c r="D25" s="850">
        <v>19.899999999999999</v>
      </c>
      <c r="E25" s="850" t="s">
        <v>6</v>
      </c>
      <c r="F25" s="850" t="s">
        <v>6</v>
      </c>
      <c r="G25" s="847">
        <v>19.899999999999999</v>
      </c>
      <c r="H25" s="847">
        <v>19.3</v>
      </c>
      <c r="L25" s="722"/>
      <c r="M25" s="723"/>
      <c r="N25" s="721"/>
      <c r="O25" s="722"/>
      <c r="P25" s="720"/>
      <c r="Q25" s="98"/>
      <c r="R25" s="98"/>
    </row>
    <row r="26" spans="1:18" ht="15.95" customHeight="1">
      <c r="A26" s="1">
        <v>211</v>
      </c>
      <c r="B26" s="638" t="str">
        <f>IFERROR(INDEX(lista[],MATCH($A26,lista[ID],0),MATCH(språk,lista[#Headers],0)),"")</f>
        <v>Electricity, rest of Sweden</v>
      </c>
      <c r="C26" s="202" t="s">
        <v>188</v>
      </c>
      <c r="D26" s="681">
        <v>29.5</v>
      </c>
      <c r="E26" s="681" t="s">
        <v>6</v>
      </c>
      <c r="F26" s="681" t="s">
        <v>6</v>
      </c>
      <c r="G26" s="679">
        <v>29.5</v>
      </c>
      <c r="H26" s="679">
        <v>29.2</v>
      </c>
      <c r="L26" s="717"/>
      <c r="M26" s="719"/>
      <c r="N26" s="717"/>
      <c r="O26" s="719"/>
      <c r="P26" s="720"/>
      <c r="Q26" s="98"/>
      <c r="R26" s="98"/>
    </row>
    <row r="27" spans="1:18" ht="15.95" customHeight="1">
      <c r="A27" s="1">
        <v>212</v>
      </c>
      <c r="B27" s="846" t="str">
        <f>IFERROR(INDEX(lista[],MATCH($A27,lista[ID],0),MATCH(språk,lista[#Headers],0)),"")</f>
        <v>Electricity, industrial processes</v>
      </c>
      <c r="C27" s="796" t="s">
        <v>188</v>
      </c>
      <c r="D27" s="849">
        <v>0.5</v>
      </c>
      <c r="E27" s="849"/>
      <c r="F27" s="849"/>
      <c r="G27" s="847">
        <v>0.5</v>
      </c>
      <c r="H27" s="847">
        <v>0.5</v>
      </c>
      <c r="L27" s="717"/>
      <c r="M27" s="719"/>
      <c r="N27" s="721"/>
      <c r="O27" s="722"/>
      <c r="P27" s="720"/>
      <c r="Q27" s="98"/>
      <c r="R27" s="98"/>
    </row>
    <row r="28" spans="1:18" ht="15.95" customHeight="1">
      <c r="B28" s="638"/>
      <c r="C28" s="202"/>
      <c r="D28" s="202"/>
      <c r="E28" s="202"/>
      <c r="F28" s="202"/>
      <c r="G28" s="679"/>
      <c r="H28" s="679"/>
      <c r="L28" s="717"/>
      <c r="M28" s="717"/>
      <c r="N28" s="717"/>
      <c r="O28" s="717"/>
      <c r="P28" s="724"/>
      <c r="Q28" s="98"/>
      <c r="R28" s="98"/>
    </row>
    <row r="29" spans="1:18">
      <c r="A29" s="1">
        <v>213</v>
      </c>
      <c r="B29" s="1" t="str">
        <f>IFERROR(INDEX(lista[],MATCH($A29,lista[ID],0),MATCH(språk,lista[#Headers],0)),"")</f>
        <v>Source: Skatteverket (Swedish Tax Agency), processed by the Swedish Energy Agency.</v>
      </c>
      <c r="G29" s="729"/>
      <c r="H29" s="729"/>
      <c r="L29" s="721"/>
      <c r="M29" s="721"/>
      <c r="N29" s="721"/>
      <c r="O29" s="721"/>
      <c r="P29" s="720"/>
      <c r="Q29" s="98"/>
      <c r="R29" s="98"/>
    </row>
    <row r="30" spans="1:18">
      <c r="A30" s="1">
        <v>214</v>
      </c>
      <c r="B30" s="1" t="str">
        <f>IFERROR(INDEX(lista[],MATCH($A30,lista[ID],0),MATCH(språk,lista[#Headers],0)),"")</f>
        <v>Notes:</v>
      </c>
      <c r="G30" s="729"/>
      <c r="H30" s="729"/>
      <c r="L30" s="1000"/>
      <c r="M30" s="721"/>
      <c r="N30" s="721"/>
      <c r="O30" s="725"/>
      <c r="P30" s="726"/>
      <c r="Q30" s="98"/>
      <c r="R30" s="98"/>
    </row>
    <row r="31" spans="1:18">
      <c r="A31" s="1">
        <v>215</v>
      </c>
      <c r="B31" s="1" t="str">
        <f>IFERROR(INDEX(lista[],MATCH($A31,lista[ID],0),MATCH(språk,lista[#Headers],0)),"")</f>
        <v xml:space="preserve">An additional value added tax (VAT) of 25% is charged (deductible for companies). </v>
      </c>
      <c r="G31" s="729"/>
      <c r="H31" s="729"/>
      <c r="L31" s="1000"/>
      <c r="M31" s="721"/>
      <c r="N31" s="721"/>
      <c r="O31" s="725"/>
      <c r="P31" s="726"/>
      <c r="Q31" s="98"/>
      <c r="R31" s="98"/>
    </row>
    <row r="32" spans="1:18" ht="15.95" customHeight="1">
      <c r="G32" s="729"/>
      <c r="H32" s="729"/>
      <c r="L32" s="1000"/>
      <c r="M32" s="725"/>
      <c r="N32" s="721"/>
      <c r="O32" s="725"/>
      <c r="P32" s="720"/>
      <c r="Q32" s="98"/>
      <c r="R32" s="98"/>
    </row>
    <row r="33" spans="1:18" ht="15.75">
      <c r="A33" s="1">
        <v>216</v>
      </c>
      <c r="B33" s="421" t="str">
        <f>IFERROR(INDEX(lista[],MATCH($A33,lista[ID],0),MATCH(språk,lista[#Headers],0)),"")</f>
        <v>Energy and environmental taxes (industry, agriculture, forestry, fisheries), from 1 January 2016</v>
      </c>
      <c r="G33" s="729"/>
      <c r="H33" s="729"/>
      <c r="L33" s="1000"/>
      <c r="M33" s="725"/>
      <c r="N33" s="721"/>
      <c r="O33" s="725"/>
      <c r="P33" s="720"/>
      <c r="Q33" s="98"/>
      <c r="R33" s="98"/>
    </row>
    <row r="34" spans="1:18">
      <c r="G34" s="729"/>
      <c r="H34" s="729"/>
      <c r="L34" s="1000"/>
      <c r="M34" s="725"/>
      <c r="N34" s="721"/>
      <c r="O34" s="725"/>
      <c r="P34" s="720"/>
      <c r="Q34" s="98"/>
      <c r="R34" s="98"/>
    </row>
    <row r="35" spans="1:18" ht="26.25">
      <c r="B35" s="128"/>
      <c r="C35" s="129" t="str">
        <f>IFERROR(INDEX(_13.2[],MATCH(språk,_13.2[[id]:[id]],0),MATCH(C$5,_13.2[#Headers],0)),"")</f>
        <v>Unit</v>
      </c>
      <c r="D35" s="129" t="str">
        <f>IFERROR(INDEX(_13.2[],MATCH(språk,_13.2[[id]:[id]],0),MATCH(D$5,_13.2[#Headers],0)),"")</f>
        <v>Energy tax</v>
      </c>
      <c r="E35" s="129" t="str">
        <f>IFERROR(INDEX(_13.2[],MATCH(språk,_13.2[[id]:[id]],0),MATCH(E$5,_13.2[#Headers],0)),"")</f>
        <v>CO2 tax</v>
      </c>
      <c r="F35" s="129" t="str">
        <f>IFERROR(INDEX(_13.2[],MATCH(språk,_13.2[[id]:[id]],0),MATCH(F$5,_13.2[#Headers],0)),"")</f>
        <v>Sulphur tax</v>
      </c>
      <c r="G35" s="129" t="str">
        <f>IFERROR(INDEX(_13.2[],MATCH(språk,_13.2[[id]:[id]],0),MATCH(G$5,_13.2[#Headers],0)),"")</f>
        <v>Total tax</v>
      </c>
      <c r="H35" s="129" t="str">
        <f>IFERROR(INDEX(_13.2[],MATCH(språk,_13.2[[id]:[id]],0),MATCH(H$5,_13.2[#Headers],0)),"")</f>
        <v>Total tax öre/kWh</v>
      </c>
      <c r="L35" s="1002"/>
      <c r="M35" s="725"/>
      <c r="N35" s="721"/>
      <c r="O35" s="725"/>
      <c r="P35" s="727"/>
      <c r="Q35" s="98"/>
      <c r="R35" s="98"/>
    </row>
    <row r="36" spans="1:18" ht="15.95" customHeight="1">
      <c r="A36" s="1">
        <v>217</v>
      </c>
      <c r="B36" s="795" t="str">
        <f>IFERROR(INDEX(lista[],MATCH($A36,lista[ID],0),MATCH(språk,lista[#Headers],0)),"")</f>
        <v>Fuels</v>
      </c>
      <c r="C36" s="796"/>
      <c r="D36" s="796"/>
      <c r="E36" s="796"/>
      <c r="F36" s="796"/>
      <c r="G36" s="847"/>
      <c r="H36" s="847"/>
      <c r="L36" s="1002"/>
      <c r="M36" s="717"/>
      <c r="N36" s="717"/>
      <c r="O36" s="717"/>
      <c r="P36" s="724"/>
      <c r="Q36" s="98"/>
      <c r="R36" s="98"/>
    </row>
    <row r="37" spans="1:18" ht="14.65">
      <c r="A37" s="1">
        <v>218</v>
      </c>
      <c r="B37" s="638" t="str">
        <f>IFERROR(INDEX(lista[],MATCH($A37,lista[ID],0),MATCH(språk,lista[#Headers],0)),"")</f>
        <v>Heating oil, ( &lt;0,05 % sulphur)</v>
      </c>
      <c r="C37" s="202" t="s">
        <v>271</v>
      </c>
      <c r="D37" s="202">
        <v>256.50000000000006</v>
      </c>
      <c r="E37" s="202">
        <v>2589.6000000000004</v>
      </c>
      <c r="F37" s="202"/>
      <c r="G37" s="602">
        <v>2846.1000000000004</v>
      </c>
      <c r="H37" s="679">
        <v>28.60402010050252</v>
      </c>
      <c r="L37" s="1001"/>
      <c r="M37" s="723"/>
      <c r="N37" s="723"/>
      <c r="O37" s="721"/>
      <c r="P37" s="728"/>
      <c r="Q37" s="98"/>
      <c r="R37" s="98"/>
    </row>
    <row r="38" spans="1:18" ht="14.65">
      <c r="A38" s="1">
        <v>219</v>
      </c>
      <c r="B38" s="846" t="str">
        <f>IFERROR(INDEX(lista[],MATCH($A38,lista[ID],0),MATCH(språk,lista[#Headers],0)),"")</f>
        <v>Heavy fuel oil, (0,4 % sulphur)</v>
      </c>
      <c r="C38" s="796" t="s">
        <v>271</v>
      </c>
      <c r="D38" s="796">
        <v>256.50000000000006</v>
      </c>
      <c r="E38" s="796">
        <v>2589.6000000000004</v>
      </c>
      <c r="F38" s="796">
        <v>108</v>
      </c>
      <c r="G38" s="797">
        <v>2954.1000000000004</v>
      </c>
      <c r="H38" s="847">
        <v>27.480000000000004</v>
      </c>
      <c r="L38" s="1001"/>
      <c r="M38" s="723"/>
      <c r="N38" s="723"/>
      <c r="O38" s="721"/>
      <c r="P38" s="728"/>
      <c r="Q38" s="98"/>
      <c r="R38" s="98"/>
    </row>
    <row r="39" spans="1:18">
      <c r="A39" s="1">
        <v>220</v>
      </c>
      <c r="B39" s="638" t="str">
        <f>IFERROR(INDEX(lista[],MATCH($A39,lista[ID],0),MATCH(språk,lista[#Headers],0)),"")</f>
        <v>Coal, (0,5 % sulphur)</v>
      </c>
      <c r="C39" s="202" t="s">
        <v>178</v>
      </c>
      <c r="D39" s="202">
        <v>195.00000000000003</v>
      </c>
      <c r="E39" s="202">
        <v>2253.6</v>
      </c>
      <c r="F39" s="202">
        <v>150</v>
      </c>
      <c r="G39" s="602">
        <v>2598.6</v>
      </c>
      <c r="H39" s="679">
        <v>34.373015873015873</v>
      </c>
      <c r="L39" s="1002"/>
      <c r="M39" s="717"/>
      <c r="N39" s="717"/>
      <c r="O39" s="717"/>
      <c r="P39" s="718"/>
      <c r="Q39" s="98"/>
      <c r="R39" s="98"/>
    </row>
    <row r="40" spans="1:18">
      <c r="A40" s="1">
        <v>221</v>
      </c>
      <c r="B40" s="846" t="str">
        <f>IFERROR(INDEX(lista[],MATCH($A40,lista[ID],0),MATCH(språk,lista[#Headers],0)),"")</f>
        <v>LPG</v>
      </c>
      <c r="C40" s="796" t="s">
        <v>178</v>
      </c>
      <c r="D40" s="796">
        <v>329.40000000000003</v>
      </c>
      <c r="E40" s="796">
        <v>2724</v>
      </c>
      <c r="F40" s="796"/>
      <c r="G40" s="797">
        <v>3053.4</v>
      </c>
      <c r="H40" s="847">
        <v>23.873338545738864</v>
      </c>
      <c r="L40" s="1003"/>
    </row>
    <row r="41" spans="1:18" ht="14.65">
      <c r="A41" s="1">
        <v>222</v>
      </c>
      <c r="B41" s="638" t="str">
        <f>IFERROR(INDEX(lista[],MATCH($A41,lista[ID],0),MATCH(språk,lista[#Headers],0)),"")</f>
        <v>Natural gas</v>
      </c>
      <c r="C41" s="202" t="s">
        <v>272</v>
      </c>
      <c r="D41" s="202">
        <v>283.50000000000006</v>
      </c>
      <c r="E41" s="202">
        <v>1939.2</v>
      </c>
      <c r="F41" s="202"/>
      <c r="G41" s="602">
        <v>2222.7000000000003</v>
      </c>
      <c r="H41" s="679">
        <v>20.31718464351006</v>
      </c>
      <c r="L41" s="1003"/>
    </row>
    <row r="42" spans="1:18" ht="14.65">
      <c r="A42" s="1">
        <v>223</v>
      </c>
      <c r="B42" s="846" t="str">
        <f>IFERROR(INDEX(lista[],MATCH($A42,lista[ID],0),MATCH(språk,lista[#Headers],0)),"")</f>
        <v>Crude tall oil</v>
      </c>
      <c r="C42" s="796" t="s">
        <v>271</v>
      </c>
      <c r="D42" s="796">
        <v>2846.1000000000004</v>
      </c>
      <c r="E42" s="796" t="s">
        <v>6</v>
      </c>
      <c r="F42" s="796"/>
      <c r="G42" s="797">
        <v>2846.1000000000004</v>
      </c>
      <c r="H42" s="847">
        <v>29.03068823690705</v>
      </c>
      <c r="L42" s="1003"/>
    </row>
    <row r="43" spans="1:18">
      <c r="A43" s="1">
        <v>224</v>
      </c>
      <c r="B43" s="917" t="str">
        <f>IFERROR(INDEX(lista[],MATCH($A43,lista[ID],0),MATCH(språk,lista[#Headers],0)),"")</f>
        <v>Peat, 45 % moisture content (0,24 % sulphur)</v>
      </c>
      <c r="C43" s="918" t="s">
        <v>178</v>
      </c>
      <c r="D43" s="918"/>
      <c r="E43" s="918" t="s">
        <v>6</v>
      </c>
      <c r="F43" s="919">
        <v>39.6</v>
      </c>
      <c r="G43" s="920">
        <v>39.6</v>
      </c>
      <c r="H43" s="921">
        <v>1.4142857142857146</v>
      </c>
      <c r="L43" s="1003"/>
    </row>
    <row r="44" spans="1:18">
      <c r="B44" s="98"/>
      <c r="C44" s="98"/>
      <c r="D44" s="98"/>
      <c r="E44" s="98"/>
      <c r="F44" s="98"/>
      <c r="G44" s="98"/>
      <c r="H44" s="98"/>
      <c r="L44" s="1003"/>
    </row>
    <row r="45" spans="1:18">
      <c r="A45" s="1">
        <v>225</v>
      </c>
      <c r="B45" s="1" t="str">
        <f>IFERROR(INDEX(lista[],MATCH($A45,lista[ID],0),MATCH(språk,lista[#Headers],0)),"")</f>
        <v>Source: Skatteverket (Swedish Tax Agency), processed by the Swedish Energy Agency.</v>
      </c>
      <c r="L45" s="1003"/>
    </row>
    <row r="46" spans="1:18">
      <c r="A46" s="1">
        <v>226</v>
      </c>
      <c r="B46" s="1" t="str">
        <f>IFERROR(INDEX(lista[],MATCH($A46,lista[ID],0),MATCH(språk,lista[#Headers],0)),"")</f>
        <v>Notes:</v>
      </c>
      <c r="L46" s="1003"/>
    </row>
    <row r="47" spans="1:18" ht="27.75" customHeight="1">
      <c r="A47" s="1">
        <v>227</v>
      </c>
      <c r="B47" s="1082" t="str">
        <f>IFERROR(INDEX(lista[],MATCH($A47,lista[ID],0),MATCH(språk,lista[#Headers],0)),"")</f>
        <v>1) As of 1 January 2011, industries included in the EU Emissions Trading System are exempt from carbon tax.</v>
      </c>
      <c r="C47" s="1082"/>
      <c r="D47" s="1082"/>
      <c r="E47" s="1082"/>
      <c r="F47" s="1082"/>
      <c r="G47" s="1082"/>
      <c r="H47" s="1082"/>
    </row>
    <row r="48" spans="1:18" ht="27.75" customHeight="1">
      <c r="A48" s="1">
        <v>228</v>
      </c>
      <c r="B48" s="1063" t="str">
        <f>IFERROR(INDEX(lista[],MATCH($A48,lista[ID],0),MATCH(språk,lista[#Headers],0)),"")</f>
        <v>2) Energy tax on crude tall oil for industry, agriculture, forestry and fisheries is equal to the total tax on heating oil for those businesses.</v>
      </c>
      <c r="C48" s="1063"/>
      <c r="D48" s="1063"/>
      <c r="E48" s="1063"/>
      <c r="F48" s="1063"/>
      <c r="G48" s="1063"/>
      <c r="H48" s="1063"/>
    </row>
  </sheetData>
  <mergeCells count="2">
    <mergeCell ref="B47:H47"/>
    <mergeCell ref="B48:H48"/>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0"/>
  </sheetPr>
  <dimension ref="A1:E56"/>
  <sheetViews>
    <sheetView zoomScaleNormal="100" workbookViewId="0">
      <pane ySplit="6" topLeftCell="A7" activePane="bottomLeft" state="frozen"/>
      <selection pane="bottomLeft" activeCell="C1" sqref="C1"/>
    </sheetView>
  </sheetViews>
  <sheetFormatPr defaultColWidth="9.1328125" defaultRowHeight="14.25"/>
  <cols>
    <col min="1" max="1" width="9.1328125" style="549"/>
    <col min="2" max="2" width="11.73046875" style="549" customWidth="1"/>
    <col min="3" max="3" width="19.3984375" style="549" customWidth="1"/>
    <col min="4" max="5" width="14.265625" style="549" customWidth="1"/>
    <col min="6" max="16384" width="9.1328125" style="549"/>
  </cols>
  <sheetData>
    <row r="1" spans="1:5">
      <c r="A1" s="524" t="str">
        <f>IF(språk=lista[[#Headers],[Svenska]],"Innehåll",IF(språk=lista[[#Headers],[English]],"Contents","FEL"))</f>
        <v>Contents</v>
      </c>
    </row>
    <row r="3" spans="1:5" ht="18" customHeight="1">
      <c r="A3" s="1049" t="str">
        <f>IFERROR(INDEX(lista[],MATCH($A5,lista[ID],0),MATCH(språk,lista[#Headers],0)),"")</f>
        <v>Total final energy use, by sector, from 1970, TWh</v>
      </c>
      <c r="B3" s="1049"/>
      <c r="C3" s="1049"/>
      <c r="D3" s="1049"/>
      <c r="E3" s="1049"/>
    </row>
    <row r="4" spans="1:5" ht="14.25" customHeight="1">
      <c r="A4" s="31"/>
      <c r="B4" s="31"/>
      <c r="C4" s="31"/>
      <c r="D4" s="31"/>
      <c r="E4" s="31"/>
    </row>
    <row r="5" spans="1:5" ht="15.75" hidden="1">
      <c r="A5" s="549">
        <v>12</v>
      </c>
      <c r="B5" s="31" t="s">
        <v>647</v>
      </c>
      <c r="C5" s="31" t="s">
        <v>648</v>
      </c>
      <c r="D5" s="31" t="s">
        <v>649</v>
      </c>
      <c r="E5" s="31"/>
    </row>
    <row r="6" spans="1:5" ht="26.65">
      <c r="A6" s="33"/>
      <c r="B6" s="34" t="str">
        <f>IFERROR(INDEX(_2.2[],MATCH(språk,_2.2[[id]:[id]],0),MATCH(B$5,_2.2[#Headers],0)),"")</f>
        <v>Industry</v>
      </c>
      <c r="C6" s="34" t="str">
        <f>IFERROR(INDEX(_2.2[],MATCH(språk,_2.2[[id]:[id]],0),MATCH(C$5,_2.2[#Headers],0)),"")</f>
        <v>Domestic transports</v>
      </c>
      <c r="D6" s="34" t="str">
        <f>IFERROR(INDEX(_2.2[],MATCH(språk,_2.2[[id]:[id]],0),MATCH(D$5,_2.2[#Headers],0)),"")</f>
        <v>Residential and services</v>
      </c>
      <c r="E6" s="595" t="str">
        <f>IF(språk=lista[[#Headers],[Svenska]],"Totalt",IF(språk=lista[[#Headers],[English]],"Total","FEL"))</f>
        <v>Total</v>
      </c>
    </row>
    <row r="7" spans="1:5">
      <c r="A7" s="744">
        <v>1970</v>
      </c>
      <c r="B7" s="745">
        <v>154</v>
      </c>
      <c r="C7" s="745">
        <v>56</v>
      </c>
      <c r="D7" s="745">
        <v>165</v>
      </c>
      <c r="E7" s="746">
        <v>375</v>
      </c>
    </row>
    <row r="8" spans="1:5">
      <c r="A8" s="36">
        <v>1971</v>
      </c>
      <c r="B8" s="37">
        <v>151</v>
      </c>
      <c r="C8" s="37">
        <v>56</v>
      </c>
      <c r="D8" s="37">
        <v>159</v>
      </c>
      <c r="E8" s="38">
        <v>366</v>
      </c>
    </row>
    <row r="9" spans="1:5">
      <c r="A9" s="744">
        <v>1972</v>
      </c>
      <c r="B9" s="745">
        <v>156</v>
      </c>
      <c r="C9" s="745">
        <v>58</v>
      </c>
      <c r="D9" s="745">
        <v>157</v>
      </c>
      <c r="E9" s="746">
        <v>371</v>
      </c>
    </row>
    <row r="10" spans="1:5">
      <c r="A10" s="36">
        <v>1973</v>
      </c>
      <c r="B10" s="37">
        <v>165</v>
      </c>
      <c r="C10" s="37">
        <v>62</v>
      </c>
      <c r="D10" s="37">
        <v>164</v>
      </c>
      <c r="E10" s="38">
        <v>391</v>
      </c>
    </row>
    <row r="11" spans="1:5">
      <c r="A11" s="744">
        <v>1974</v>
      </c>
      <c r="B11" s="745">
        <v>164</v>
      </c>
      <c r="C11" s="745">
        <v>58</v>
      </c>
      <c r="D11" s="745">
        <v>140</v>
      </c>
      <c r="E11" s="746">
        <v>362</v>
      </c>
    </row>
    <row r="12" spans="1:5">
      <c r="A12" s="36">
        <v>1975</v>
      </c>
      <c r="B12" s="37">
        <v>160</v>
      </c>
      <c r="C12" s="37">
        <v>62</v>
      </c>
      <c r="D12" s="37">
        <v>152</v>
      </c>
      <c r="E12" s="38">
        <v>374</v>
      </c>
    </row>
    <row r="13" spans="1:5">
      <c r="A13" s="744">
        <v>1976</v>
      </c>
      <c r="B13" s="745">
        <v>159</v>
      </c>
      <c r="C13" s="745">
        <v>67</v>
      </c>
      <c r="D13" s="745">
        <v>166</v>
      </c>
      <c r="E13" s="746">
        <v>392</v>
      </c>
    </row>
    <row r="14" spans="1:5">
      <c r="A14" s="36">
        <v>1977</v>
      </c>
      <c r="B14" s="37">
        <v>148</v>
      </c>
      <c r="C14" s="37">
        <v>70</v>
      </c>
      <c r="D14" s="37">
        <v>163</v>
      </c>
      <c r="E14" s="38">
        <v>381</v>
      </c>
    </row>
    <row r="15" spans="1:5">
      <c r="A15" s="744">
        <v>1978</v>
      </c>
      <c r="B15" s="745">
        <v>151</v>
      </c>
      <c r="C15" s="745">
        <v>71</v>
      </c>
      <c r="D15" s="745">
        <v>166</v>
      </c>
      <c r="E15" s="746">
        <v>388</v>
      </c>
    </row>
    <row r="16" spans="1:5">
      <c r="A16" s="36">
        <v>1979</v>
      </c>
      <c r="B16" s="37">
        <v>156</v>
      </c>
      <c r="C16" s="37">
        <v>71</v>
      </c>
      <c r="D16" s="37">
        <v>174</v>
      </c>
      <c r="E16" s="38">
        <v>401</v>
      </c>
    </row>
    <row r="17" spans="1:5">
      <c r="A17" s="744">
        <v>1980</v>
      </c>
      <c r="B17" s="745">
        <v>148</v>
      </c>
      <c r="C17" s="745">
        <v>68</v>
      </c>
      <c r="D17" s="745">
        <v>165</v>
      </c>
      <c r="E17" s="746">
        <v>381</v>
      </c>
    </row>
    <row r="18" spans="1:5">
      <c r="A18" s="36">
        <v>1981</v>
      </c>
      <c r="B18" s="37">
        <v>138</v>
      </c>
      <c r="C18" s="37">
        <v>67</v>
      </c>
      <c r="D18" s="37">
        <v>162</v>
      </c>
      <c r="E18" s="38">
        <v>367</v>
      </c>
    </row>
    <row r="19" spans="1:5">
      <c r="A19" s="744">
        <v>1982</v>
      </c>
      <c r="B19" s="745">
        <v>128</v>
      </c>
      <c r="C19" s="745">
        <v>67</v>
      </c>
      <c r="D19" s="745">
        <v>154</v>
      </c>
      <c r="E19" s="746">
        <v>349</v>
      </c>
    </row>
    <row r="20" spans="1:5">
      <c r="A20" s="36">
        <v>1983</v>
      </c>
      <c r="B20" s="37">
        <v>129.11199222222223</v>
      </c>
      <c r="C20" s="37">
        <v>70.867222222222225</v>
      </c>
      <c r="D20" s="37">
        <v>145.35972222222222</v>
      </c>
      <c r="E20" s="38">
        <v>345.33893666666665</v>
      </c>
    </row>
    <row r="21" spans="1:5">
      <c r="A21" s="744">
        <v>1984</v>
      </c>
      <c r="B21" s="745">
        <v>135.22441222222221</v>
      </c>
      <c r="C21" s="745">
        <v>74.572222222222223</v>
      </c>
      <c r="D21" s="745">
        <v>145.08250000000001</v>
      </c>
      <c r="E21" s="746">
        <v>354.87913444444445</v>
      </c>
    </row>
    <row r="22" spans="1:5">
      <c r="A22" s="36">
        <v>1985</v>
      </c>
      <c r="B22" s="37">
        <v>139.50272444444442</v>
      </c>
      <c r="C22" s="37">
        <v>75.670000000000016</v>
      </c>
      <c r="D22" s="37">
        <v>161.0033333333333</v>
      </c>
      <c r="E22" s="38">
        <v>376.17605777777771</v>
      </c>
    </row>
    <row r="23" spans="1:5">
      <c r="A23" s="744">
        <v>1986</v>
      </c>
      <c r="B23" s="745">
        <v>138.35695222222222</v>
      </c>
      <c r="C23" s="745">
        <v>78.97999999999999</v>
      </c>
      <c r="D23" s="745">
        <v>155.39972222222221</v>
      </c>
      <c r="E23" s="746">
        <v>372.73667444444442</v>
      </c>
    </row>
    <row r="24" spans="1:5">
      <c r="A24" s="36">
        <v>1987</v>
      </c>
      <c r="B24" s="37">
        <v>141.08644444444442</v>
      </c>
      <c r="C24" s="37">
        <v>81.381944444444457</v>
      </c>
      <c r="D24" s="37">
        <v>162.66305555555556</v>
      </c>
      <c r="E24" s="38">
        <v>385.13144444444447</v>
      </c>
    </row>
    <row r="25" spans="1:5">
      <c r="A25" s="744">
        <v>1988</v>
      </c>
      <c r="B25" s="745">
        <v>142.56330777777777</v>
      </c>
      <c r="C25" s="745">
        <v>85.094722222222245</v>
      </c>
      <c r="D25" s="745">
        <v>154.66305555555556</v>
      </c>
      <c r="E25" s="746">
        <v>382.32108555555556</v>
      </c>
    </row>
    <row r="26" spans="1:5">
      <c r="A26" s="36">
        <v>1989</v>
      </c>
      <c r="B26" s="37">
        <v>141.33169444444448</v>
      </c>
      <c r="C26" s="37">
        <v>86.391388888888869</v>
      </c>
      <c r="D26" s="37">
        <v>148.02444444444444</v>
      </c>
      <c r="E26" s="38">
        <v>375.7475277777778</v>
      </c>
    </row>
    <row r="27" spans="1:5">
      <c r="A27" s="744">
        <v>1990</v>
      </c>
      <c r="B27" s="745">
        <v>140.24060333333333</v>
      </c>
      <c r="C27" s="745">
        <v>76.620736629781078</v>
      </c>
      <c r="D27" s="745">
        <v>149.75138888888887</v>
      </c>
      <c r="E27" s="746">
        <v>366.61272885200327</v>
      </c>
    </row>
    <row r="28" spans="1:5">
      <c r="A28" s="36">
        <v>1991</v>
      </c>
      <c r="B28" s="37">
        <v>134.96678333333332</v>
      </c>
      <c r="C28" s="37">
        <v>75.62621035309769</v>
      </c>
      <c r="D28" s="37">
        <v>156.58527777777778</v>
      </c>
      <c r="E28" s="38">
        <v>367.17827146420882</v>
      </c>
    </row>
    <row r="29" spans="1:5">
      <c r="A29" s="744">
        <v>1992</v>
      </c>
      <c r="B29" s="745">
        <v>132.38076111111113</v>
      </c>
      <c r="C29" s="745">
        <v>76.887918091986563</v>
      </c>
      <c r="D29" s="745">
        <v>152.6</v>
      </c>
      <c r="E29" s="746">
        <v>361.86867920309771</v>
      </c>
    </row>
    <row r="30" spans="1:5">
      <c r="A30" s="36">
        <v>1993</v>
      </c>
      <c r="B30" s="37">
        <v>135.32316</v>
      </c>
      <c r="C30" s="37">
        <v>73.311522038715012</v>
      </c>
      <c r="D30" s="37">
        <v>156.67472222222221</v>
      </c>
      <c r="E30" s="38">
        <v>365.30940426093724</v>
      </c>
    </row>
    <row r="31" spans="1:5">
      <c r="A31" s="744">
        <v>1994</v>
      </c>
      <c r="B31" s="745">
        <v>139.83133555555557</v>
      </c>
      <c r="C31" s="745">
        <v>74.904055771236713</v>
      </c>
      <c r="D31" s="745">
        <v>156.92944444444444</v>
      </c>
      <c r="E31" s="746">
        <v>371.66483577123677</v>
      </c>
    </row>
    <row r="32" spans="1:5">
      <c r="A32" s="36">
        <v>1995</v>
      </c>
      <c r="B32" s="37">
        <v>146.00363666666667</v>
      </c>
      <c r="C32" s="37">
        <v>76.62771488657414</v>
      </c>
      <c r="D32" s="37">
        <v>156.86444444444444</v>
      </c>
      <c r="E32" s="38">
        <v>379.49579599768526</v>
      </c>
    </row>
    <row r="33" spans="1:5">
      <c r="A33" s="744">
        <v>1996</v>
      </c>
      <c r="B33" s="745">
        <v>147.94362444444442</v>
      </c>
      <c r="C33" s="745">
        <v>76.460430856611552</v>
      </c>
      <c r="D33" s="745">
        <v>162.90527777777777</v>
      </c>
      <c r="E33" s="746">
        <v>387.30933307883373</v>
      </c>
    </row>
    <row r="34" spans="1:5">
      <c r="A34" s="36">
        <v>1997</v>
      </c>
      <c r="B34" s="37">
        <v>152.71467777777778</v>
      </c>
      <c r="C34" s="37">
        <v>76.189542818226599</v>
      </c>
      <c r="D34" s="37">
        <v>153.46</v>
      </c>
      <c r="E34" s="38">
        <v>382.36422059600443</v>
      </c>
    </row>
    <row r="35" spans="1:5">
      <c r="A35" s="744">
        <v>1998</v>
      </c>
      <c r="B35" s="745">
        <v>152.08244444444443</v>
      </c>
      <c r="C35" s="745">
        <v>79.474314839648954</v>
      </c>
      <c r="D35" s="745">
        <v>153.76527777777778</v>
      </c>
      <c r="E35" s="746">
        <v>385.32203706187119</v>
      </c>
    </row>
    <row r="36" spans="1:5">
      <c r="A36" s="36">
        <v>1999</v>
      </c>
      <c r="B36" s="37">
        <v>152.98053222222222</v>
      </c>
      <c r="C36" s="37">
        <v>80.375393409926048</v>
      </c>
      <c r="D36" s="37">
        <v>150.96916666666667</v>
      </c>
      <c r="E36" s="38">
        <v>384.32509229881498</v>
      </c>
    </row>
    <row r="37" spans="1:5">
      <c r="A37" s="744">
        <v>2000</v>
      </c>
      <c r="B37" s="745">
        <v>153.16440444444447</v>
      </c>
      <c r="C37" s="745">
        <v>79.372204380570395</v>
      </c>
      <c r="D37" s="745">
        <v>148.47499999999999</v>
      </c>
      <c r="E37" s="746">
        <v>381.01160882501483</v>
      </c>
    </row>
    <row r="38" spans="1:5">
      <c r="A38" s="36">
        <v>2001</v>
      </c>
      <c r="B38" s="37">
        <v>152.00977777777777</v>
      </c>
      <c r="C38" s="37">
        <v>81.43489452234526</v>
      </c>
      <c r="D38" s="37">
        <v>154.71472222222218</v>
      </c>
      <c r="E38" s="38">
        <v>388.15939452234522</v>
      </c>
    </row>
    <row r="39" spans="1:5">
      <c r="A39" s="744">
        <v>2002</v>
      </c>
      <c r="B39" s="745">
        <v>153.91532888888887</v>
      </c>
      <c r="C39" s="745">
        <v>85.789606479113644</v>
      </c>
      <c r="D39" s="745">
        <v>153.34222222222223</v>
      </c>
      <c r="E39" s="746">
        <v>393.04715759022474</v>
      </c>
    </row>
    <row r="40" spans="1:5">
      <c r="A40" s="36">
        <v>2003</v>
      </c>
      <c r="B40" s="37">
        <v>156.86078737843334</v>
      </c>
      <c r="C40" s="37">
        <v>87.46796375099693</v>
      </c>
      <c r="D40" s="37">
        <v>153.70972222222218</v>
      </c>
      <c r="E40" s="38">
        <v>398.03847335165244</v>
      </c>
    </row>
    <row r="41" spans="1:5">
      <c r="A41" s="744">
        <v>2004</v>
      </c>
      <c r="B41" s="745">
        <v>156.75638888888886</v>
      </c>
      <c r="C41" s="745">
        <v>90.187908982974633</v>
      </c>
      <c r="D41" s="745">
        <v>151.02611111111111</v>
      </c>
      <c r="E41" s="746">
        <v>397.97040898297462</v>
      </c>
    </row>
    <row r="42" spans="1:5">
      <c r="A42" s="36">
        <v>2005</v>
      </c>
      <c r="B42" s="37">
        <v>154.90249999999997</v>
      </c>
      <c r="C42" s="37">
        <v>91.099593288888897</v>
      </c>
      <c r="D42" s="37">
        <v>148.50916666666669</v>
      </c>
      <c r="E42" s="38">
        <v>394.5112599555556</v>
      </c>
    </row>
    <row r="43" spans="1:5">
      <c r="A43" s="744">
        <v>2006</v>
      </c>
      <c r="B43" s="745">
        <v>156.2572222222222</v>
      </c>
      <c r="C43" s="745">
        <v>91.873656311111105</v>
      </c>
      <c r="D43" s="745">
        <v>144.80805555555557</v>
      </c>
      <c r="E43" s="746">
        <v>392.93893408888891</v>
      </c>
    </row>
    <row r="44" spans="1:5">
      <c r="A44" s="36">
        <v>2007</v>
      </c>
      <c r="B44" s="37">
        <v>159.25416666666669</v>
      </c>
      <c r="C44" s="37">
        <v>92.765980877777778</v>
      </c>
      <c r="D44" s="37">
        <v>144.11916666666664</v>
      </c>
      <c r="E44" s="38">
        <v>396.13931421111113</v>
      </c>
    </row>
    <row r="45" spans="1:5">
      <c r="A45" s="747">
        <v>2008</v>
      </c>
      <c r="B45" s="748">
        <v>154.49694444444444</v>
      </c>
      <c r="C45" s="748">
        <v>89.681166888888896</v>
      </c>
      <c r="D45" s="748">
        <v>141.36861111111114</v>
      </c>
      <c r="E45" s="749">
        <v>385.54672244444447</v>
      </c>
    </row>
    <row r="46" spans="1:5">
      <c r="A46" s="39">
        <v>2009</v>
      </c>
      <c r="B46" s="40">
        <v>136.88083333333336</v>
      </c>
      <c r="C46" s="40">
        <v>88.459444444444429</v>
      </c>
      <c r="D46" s="40">
        <v>145.45277777777778</v>
      </c>
      <c r="E46" s="238">
        <v>370.79305555555555</v>
      </c>
    </row>
    <row r="47" spans="1:5">
      <c r="A47" s="747">
        <v>2010</v>
      </c>
      <c r="B47" s="748">
        <v>149.43638888888887</v>
      </c>
      <c r="C47" s="748">
        <v>90.478888888888903</v>
      </c>
      <c r="D47" s="748">
        <v>155.42138888888888</v>
      </c>
      <c r="E47" s="749">
        <v>395.33666666666664</v>
      </c>
    </row>
    <row r="48" spans="1:5">
      <c r="A48" s="41">
        <v>2011</v>
      </c>
      <c r="B48" s="240">
        <v>147.82888888888888</v>
      </c>
      <c r="C48" s="240">
        <v>89.1388888888889</v>
      </c>
      <c r="D48" s="240">
        <v>142.91277777777776</v>
      </c>
      <c r="E48" s="308">
        <v>379.88055555555553</v>
      </c>
    </row>
    <row r="49" spans="1:5">
      <c r="A49" s="750">
        <v>2012</v>
      </c>
      <c r="B49" s="751">
        <v>145.82055555555556</v>
      </c>
      <c r="C49" s="751">
        <v>85.757777777777747</v>
      </c>
      <c r="D49" s="751">
        <v>146.11361111111111</v>
      </c>
      <c r="E49" s="752">
        <v>377.6919444444444</v>
      </c>
    </row>
    <row r="50" spans="1:5">
      <c r="A50" s="41">
        <v>2013</v>
      </c>
      <c r="B50" s="240">
        <v>143.76722222222222</v>
      </c>
      <c r="C50" s="240">
        <v>85.010555555555527</v>
      </c>
      <c r="D50" s="240">
        <v>146.54</v>
      </c>
      <c r="E50" s="308">
        <v>375.31777777777774</v>
      </c>
    </row>
    <row r="51" spans="1:5">
      <c r="A51" s="750">
        <v>2014</v>
      </c>
      <c r="B51" s="751">
        <v>142.5647222222222</v>
      </c>
      <c r="C51" s="751">
        <v>85.278333333333322</v>
      </c>
      <c r="D51" s="751">
        <v>140.2825</v>
      </c>
      <c r="E51" s="752">
        <v>368.12555555555548</v>
      </c>
    </row>
    <row r="52" spans="1:5">
      <c r="A52" s="41">
        <v>2015</v>
      </c>
      <c r="B52" s="240">
        <v>140.37777777777779</v>
      </c>
      <c r="C52" s="240">
        <v>87.180277777777775</v>
      </c>
      <c r="D52" s="240">
        <v>142.71555555555557</v>
      </c>
      <c r="E52" s="308">
        <v>370.27361111111111</v>
      </c>
    </row>
    <row r="54" spans="1:5">
      <c r="A54" s="26" t="s">
        <v>27</v>
      </c>
      <c r="B54" s="32"/>
      <c r="C54" s="32"/>
      <c r="D54" s="32"/>
    </row>
    <row r="55" spans="1:5">
      <c r="A55" s="26" t="s">
        <v>482</v>
      </c>
      <c r="B55" s="32"/>
      <c r="C55" s="32"/>
      <c r="D55" s="32"/>
    </row>
    <row r="56" spans="1:5">
      <c r="A56" s="448" t="s">
        <v>533</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theme="6" tint="0.39997558519241921"/>
  </sheetPr>
  <dimension ref="A1:S75"/>
  <sheetViews>
    <sheetView zoomScaleNormal="100" workbookViewId="0">
      <pane ySplit="6" topLeftCell="A7" activePane="bottomLeft" state="frozen"/>
      <selection pane="bottomLeft" activeCell="D1" sqref="D1"/>
    </sheetView>
  </sheetViews>
  <sheetFormatPr defaultColWidth="3.59765625" defaultRowHeight="11.65"/>
  <cols>
    <col min="1" max="1" width="9.265625" style="61" customWidth="1"/>
    <col min="2" max="2" width="10.73046875" style="61" customWidth="1"/>
    <col min="3" max="3" width="13.1328125" style="61" customWidth="1"/>
    <col min="4" max="4" width="16.73046875" style="61" customWidth="1"/>
    <col min="5" max="5" width="11.86328125" style="77" customWidth="1"/>
    <col min="6" max="6" width="10.73046875" style="61" customWidth="1"/>
    <col min="7" max="7" width="9.73046875" style="61" bestFit="1" customWidth="1"/>
    <col min="8" max="8" width="10" style="61" customWidth="1"/>
    <col min="9" max="9" width="10.73046875" style="61" customWidth="1"/>
    <col min="10" max="10" width="5.3984375" style="61" bestFit="1" customWidth="1"/>
    <col min="11" max="16384" width="3.59765625" style="61"/>
  </cols>
  <sheetData>
    <row r="1" spans="1:19" ht="15.95" customHeight="1">
      <c r="A1" s="524" t="str">
        <f>IF(språk=lista[[#Headers],[Svenska]],"Innehåll",IF(språk=lista[[#Headers],[English]],"Contents","FEL"))</f>
        <v>Contents</v>
      </c>
      <c r="B1" s="70"/>
      <c r="C1" s="70"/>
      <c r="D1" s="70"/>
      <c r="E1" s="70"/>
      <c r="F1" s="70"/>
      <c r="G1" s="70"/>
      <c r="H1" s="70"/>
      <c r="I1" s="70"/>
      <c r="J1" s="70"/>
      <c r="K1" s="70"/>
      <c r="L1" s="70"/>
      <c r="M1" s="70"/>
      <c r="N1" s="70"/>
      <c r="O1" s="70"/>
      <c r="P1" s="70"/>
      <c r="Q1" s="70"/>
      <c r="R1" s="70"/>
      <c r="S1" s="70"/>
    </row>
    <row r="2" spans="1:19" ht="15.95" customHeight="1">
      <c r="A2" s="70"/>
      <c r="B2" s="70"/>
      <c r="C2" s="70"/>
      <c r="D2" s="70"/>
      <c r="E2" s="70"/>
      <c r="F2" s="70"/>
      <c r="G2" s="70"/>
      <c r="H2" s="70"/>
      <c r="I2" s="70"/>
      <c r="J2" s="70"/>
      <c r="K2" s="70"/>
      <c r="L2" s="70"/>
      <c r="M2" s="70"/>
      <c r="N2" s="70"/>
      <c r="O2" s="70"/>
      <c r="P2" s="70"/>
      <c r="Q2" s="70"/>
      <c r="R2" s="70"/>
      <c r="S2" s="70"/>
    </row>
    <row r="3" spans="1:19" ht="15.95" customHeight="1">
      <c r="A3" s="405" t="str">
        <f>IFERROR(INDEX(lista[],MATCH($A5,lista[ID],0),MATCH(språk,lista[#Headers],0)),"")</f>
        <v>Final energy use in the residential and services sector by energy carrier, from 1970, TWh</v>
      </c>
      <c r="B3" s="405"/>
      <c r="C3" s="405"/>
      <c r="D3" s="405"/>
      <c r="E3" s="405"/>
      <c r="F3" s="405"/>
      <c r="G3" s="405"/>
      <c r="H3" s="405"/>
      <c r="I3" s="405"/>
      <c r="J3" s="71"/>
      <c r="K3" s="70"/>
      <c r="L3" s="70"/>
      <c r="M3" s="70"/>
      <c r="N3" s="70"/>
      <c r="O3" s="70"/>
      <c r="P3" s="70"/>
      <c r="Q3" s="70"/>
      <c r="R3" s="70"/>
      <c r="S3" s="70"/>
    </row>
    <row r="4" spans="1:19" ht="15" customHeight="1">
      <c r="A4" s="393"/>
      <c r="B4" s="70"/>
      <c r="C4" s="70"/>
      <c r="D4" s="70"/>
      <c r="E4" s="70"/>
      <c r="F4" s="70"/>
      <c r="G4" s="70"/>
      <c r="H4" s="70"/>
      <c r="I4" s="70"/>
      <c r="J4" s="70"/>
      <c r="K4" s="70"/>
      <c r="L4" s="70"/>
      <c r="M4" s="70"/>
      <c r="N4" s="70"/>
      <c r="O4" s="70"/>
      <c r="P4" s="70"/>
      <c r="Q4" s="70"/>
      <c r="R4" s="70"/>
      <c r="S4" s="70"/>
    </row>
    <row r="5" spans="1:19" ht="16.5" hidden="1" customHeight="1">
      <c r="A5" s="393">
        <v>14</v>
      </c>
      <c r="B5" s="70" t="s">
        <v>647</v>
      </c>
      <c r="C5" s="70" t="s">
        <v>648</v>
      </c>
      <c r="D5" s="70" t="s">
        <v>649</v>
      </c>
      <c r="E5" s="70" t="s">
        <v>650</v>
      </c>
      <c r="F5" s="70" t="s">
        <v>651</v>
      </c>
      <c r="G5" s="70" t="s">
        <v>652</v>
      </c>
      <c r="H5" s="70" t="s">
        <v>653</v>
      </c>
      <c r="I5" s="70"/>
      <c r="J5" s="70"/>
      <c r="K5" s="70"/>
      <c r="L5" s="70"/>
      <c r="M5" s="70"/>
      <c r="N5" s="70"/>
      <c r="O5" s="70"/>
      <c r="P5" s="70"/>
      <c r="Q5" s="70"/>
      <c r="R5" s="70"/>
      <c r="S5" s="70"/>
    </row>
    <row r="6" spans="1:19" ht="26.1" customHeight="1">
      <c r="A6" s="72"/>
      <c r="B6" s="73" t="str">
        <f>IFERROR(INDEX(_3.1[],MATCH(språk,_3.1[[id]:[id]],0),MATCH(B$5,_3.2[#Headers],0)),"")</f>
        <v>Biomass</v>
      </c>
      <c r="C6" s="73" t="str">
        <f>IFERROR(INDEX(_3.1[],MATCH(språk,_3.1[[id]:[id]],0),MATCH(C$5,_3.1[#Headers],0)),"")</f>
        <v>Coal and coke</v>
      </c>
      <c r="D6" s="73" t="str">
        <f>IFERROR(INDEX(_3.1[],MATCH(språk,_3.1[[id]:[id]],0),MATCH(D$5,_3.1[#Headers],0)),"")</f>
        <v>Oil products</v>
      </c>
      <c r="E6" s="73" t="str">
        <f>IFERROR(INDEX(_3.1[],MATCH(språk,_3.1[[id]:[id]],0),MATCH(E$5,_3.1[#Headers],0)),"")</f>
        <v>Natural gas, gasworks gas</v>
      </c>
      <c r="F6" s="73" t="str">
        <f>IFERROR(INDEX(_3.1[],MATCH(språk,_3.1[[id]:[id]],0),MATCH(F$5,_3.1[#Headers],0)),"")</f>
        <v>Other fuels</v>
      </c>
      <c r="G6" s="73" t="str">
        <f>IFERROR(INDEX(_3.1[],MATCH(språk,_3.1[[id]:[id]],0),MATCH(G$5,_3.1[#Headers],0)),"")</f>
        <v>District heating</v>
      </c>
      <c r="H6" s="73" t="str">
        <f>IFERROR(INDEX(_3.1[],MATCH(språk,_3.1[[id]:[id]],0),MATCH(H$5,_3.1[#Headers],0)),"")</f>
        <v>Electricity</v>
      </c>
      <c r="I6" s="74" t="str">
        <f>IF(språk=lista[[#Headers],[Svenska]],"Totalt",IF(språk=lista[[#Headers],[English]],"Total","FEL"))</f>
        <v>Total</v>
      </c>
      <c r="J6" s="75"/>
      <c r="K6" s="75"/>
      <c r="L6" s="70"/>
      <c r="M6" s="70"/>
      <c r="N6" s="70"/>
      <c r="O6" s="70"/>
      <c r="P6" s="70"/>
      <c r="Q6" s="70"/>
      <c r="R6" s="70"/>
      <c r="S6" s="70"/>
    </row>
    <row r="7" spans="1:19" ht="15.95" customHeight="1">
      <c r="A7" s="913">
        <v>1970</v>
      </c>
      <c r="B7" s="914">
        <v>12.1</v>
      </c>
      <c r="C7" s="914"/>
      <c r="D7" s="914">
        <v>118.6</v>
      </c>
      <c r="E7" s="914">
        <v>0</v>
      </c>
      <c r="F7" s="914"/>
      <c r="G7" s="914">
        <v>12.1</v>
      </c>
      <c r="H7" s="914">
        <v>21.9</v>
      </c>
      <c r="I7" s="915">
        <v>164.7</v>
      </c>
      <c r="J7" s="70"/>
      <c r="K7" s="70"/>
      <c r="L7" s="70"/>
      <c r="M7" s="70"/>
      <c r="N7" s="70"/>
      <c r="O7" s="70"/>
      <c r="P7" s="70"/>
      <c r="Q7" s="70"/>
      <c r="R7" s="70"/>
      <c r="S7" s="70"/>
    </row>
    <row r="8" spans="1:19" ht="15.95" customHeight="1">
      <c r="A8" s="76">
        <v>1971</v>
      </c>
      <c r="B8" s="621">
        <v>8.8000000000000007</v>
      </c>
      <c r="C8" s="621"/>
      <c r="D8" s="621">
        <v>112.9</v>
      </c>
      <c r="E8" s="621">
        <v>0</v>
      </c>
      <c r="F8" s="621"/>
      <c r="G8" s="621">
        <v>12.8</v>
      </c>
      <c r="H8" s="621">
        <v>24.3</v>
      </c>
      <c r="I8" s="619">
        <v>158.80000000000001</v>
      </c>
      <c r="J8" s="70"/>
      <c r="K8" s="70"/>
      <c r="L8" s="70"/>
      <c r="M8" s="70"/>
      <c r="N8" s="70"/>
      <c r="O8" s="70"/>
      <c r="P8" s="70"/>
      <c r="Q8" s="70"/>
      <c r="R8" s="70"/>
      <c r="S8" s="70"/>
    </row>
    <row r="9" spans="1:19" ht="15.95" customHeight="1">
      <c r="A9" s="913">
        <v>1972</v>
      </c>
      <c r="B9" s="914">
        <v>7.6</v>
      </c>
      <c r="C9" s="914"/>
      <c r="D9" s="914">
        <v>109.2</v>
      </c>
      <c r="E9" s="914">
        <v>0</v>
      </c>
      <c r="F9" s="914"/>
      <c r="G9" s="914">
        <v>14</v>
      </c>
      <c r="H9" s="914">
        <v>26.7</v>
      </c>
      <c r="I9" s="915">
        <v>157.5</v>
      </c>
      <c r="J9" s="70"/>
      <c r="K9" s="70"/>
      <c r="L9" s="70"/>
      <c r="M9" s="70"/>
      <c r="N9" s="70"/>
      <c r="O9" s="70"/>
      <c r="P9" s="70"/>
      <c r="Q9" s="70"/>
      <c r="R9" s="70"/>
      <c r="S9" s="70"/>
    </row>
    <row r="10" spans="1:19" ht="15.95" customHeight="1">
      <c r="A10" s="76">
        <v>1973</v>
      </c>
      <c r="B10" s="621">
        <v>6.7</v>
      </c>
      <c r="C10" s="621"/>
      <c r="D10" s="621">
        <v>113.4</v>
      </c>
      <c r="E10" s="621">
        <v>0</v>
      </c>
      <c r="F10" s="621"/>
      <c r="G10" s="621">
        <v>15.1</v>
      </c>
      <c r="H10" s="621">
        <v>28.4</v>
      </c>
      <c r="I10" s="619">
        <v>163.6</v>
      </c>
      <c r="J10" s="70"/>
      <c r="K10" s="70"/>
      <c r="L10" s="70"/>
      <c r="M10" s="70"/>
      <c r="N10" s="70"/>
      <c r="O10" s="70"/>
      <c r="P10" s="70"/>
      <c r="Q10" s="70"/>
      <c r="R10" s="70"/>
      <c r="S10" s="70"/>
    </row>
    <row r="11" spans="1:19" ht="15.95" customHeight="1">
      <c r="A11" s="913">
        <v>1974</v>
      </c>
      <c r="B11" s="914">
        <v>6.8</v>
      </c>
      <c r="C11" s="914"/>
      <c r="D11" s="914">
        <v>90.2</v>
      </c>
      <c r="E11" s="914">
        <v>0</v>
      </c>
      <c r="F11" s="914"/>
      <c r="G11" s="914">
        <v>14.6</v>
      </c>
      <c r="H11" s="914">
        <v>28.2</v>
      </c>
      <c r="I11" s="915">
        <v>139.80000000000001</v>
      </c>
      <c r="J11" s="70"/>
      <c r="K11" s="70"/>
      <c r="L11" s="70"/>
      <c r="M11" s="70"/>
      <c r="N11" s="70"/>
      <c r="O11" s="70"/>
      <c r="P11" s="70"/>
      <c r="Q11" s="70"/>
      <c r="R11" s="70"/>
      <c r="S11" s="70"/>
    </row>
    <row r="12" spans="1:19" ht="15.95" customHeight="1">
      <c r="A12" s="76">
        <v>1975</v>
      </c>
      <c r="B12" s="621">
        <v>6</v>
      </c>
      <c r="C12" s="621"/>
      <c r="D12" s="621">
        <v>97.4</v>
      </c>
      <c r="E12" s="621">
        <v>0</v>
      </c>
      <c r="F12" s="621"/>
      <c r="G12" s="621">
        <v>16.600000000000001</v>
      </c>
      <c r="H12" s="621">
        <v>31.7</v>
      </c>
      <c r="I12" s="619">
        <v>151.69999999999999</v>
      </c>
      <c r="J12" s="70"/>
      <c r="K12" s="70"/>
      <c r="L12" s="70"/>
      <c r="M12" s="70"/>
      <c r="N12" s="70"/>
      <c r="O12" s="70"/>
      <c r="P12" s="70"/>
      <c r="Q12" s="70"/>
      <c r="R12" s="70"/>
      <c r="S12" s="70"/>
    </row>
    <row r="13" spans="1:19" ht="15.95" customHeight="1">
      <c r="A13" s="913">
        <v>1976</v>
      </c>
      <c r="B13" s="914">
        <v>6.3</v>
      </c>
      <c r="C13" s="914"/>
      <c r="D13" s="914">
        <v>103.6</v>
      </c>
      <c r="E13" s="914">
        <v>0</v>
      </c>
      <c r="F13" s="914"/>
      <c r="G13" s="914">
        <v>20</v>
      </c>
      <c r="H13" s="914">
        <v>35.9</v>
      </c>
      <c r="I13" s="915">
        <v>165.79999999999998</v>
      </c>
      <c r="J13" s="70"/>
      <c r="K13" s="70"/>
      <c r="L13" s="70"/>
      <c r="M13" s="70"/>
      <c r="N13" s="70"/>
      <c r="O13" s="70"/>
      <c r="P13" s="70"/>
      <c r="Q13" s="70"/>
      <c r="R13" s="70"/>
      <c r="S13" s="70"/>
    </row>
    <row r="14" spans="1:19" ht="15.95" customHeight="1">
      <c r="A14" s="76">
        <v>1977</v>
      </c>
      <c r="B14" s="621">
        <v>6.9</v>
      </c>
      <c r="C14" s="621"/>
      <c r="D14" s="621">
        <v>96.4</v>
      </c>
      <c r="E14" s="621">
        <v>0</v>
      </c>
      <c r="F14" s="621"/>
      <c r="G14" s="621">
        <v>21.3</v>
      </c>
      <c r="H14" s="621">
        <v>38.1</v>
      </c>
      <c r="I14" s="619">
        <v>162.70000000000002</v>
      </c>
      <c r="J14" s="70"/>
      <c r="K14" s="70"/>
      <c r="L14" s="70"/>
      <c r="M14" s="70"/>
      <c r="N14" s="70"/>
      <c r="O14" s="70"/>
      <c r="P14" s="70"/>
      <c r="Q14" s="70"/>
      <c r="R14" s="70"/>
      <c r="S14" s="70"/>
    </row>
    <row r="15" spans="1:19" ht="15.95" customHeight="1">
      <c r="A15" s="913">
        <v>1978</v>
      </c>
      <c r="B15" s="914">
        <v>7.8</v>
      </c>
      <c r="C15" s="914"/>
      <c r="D15" s="914">
        <v>95.5</v>
      </c>
      <c r="E15" s="914">
        <v>0</v>
      </c>
      <c r="F15" s="914"/>
      <c r="G15" s="914">
        <v>22.9</v>
      </c>
      <c r="H15" s="914">
        <v>40.1</v>
      </c>
      <c r="I15" s="915">
        <v>166.3</v>
      </c>
      <c r="J15" s="70"/>
      <c r="K15" s="70"/>
      <c r="L15" s="70"/>
      <c r="M15" s="70"/>
      <c r="N15" s="70"/>
      <c r="O15" s="70"/>
      <c r="P15" s="70"/>
      <c r="Q15" s="70"/>
      <c r="R15" s="70"/>
      <c r="S15" s="70"/>
    </row>
    <row r="16" spans="1:19" ht="15.95" customHeight="1">
      <c r="A16" s="76">
        <v>1979</v>
      </c>
      <c r="B16" s="621">
        <v>8.8000000000000007</v>
      </c>
      <c r="C16" s="621"/>
      <c r="D16" s="621">
        <v>99</v>
      </c>
      <c r="E16" s="621">
        <v>0</v>
      </c>
      <c r="F16" s="621"/>
      <c r="G16" s="621">
        <v>24.1</v>
      </c>
      <c r="H16" s="621">
        <v>42.5</v>
      </c>
      <c r="I16" s="619">
        <v>174.4</v>
      </c>
      <c r="J16" s="70"/>
      <c r="K16" s="70"/>
      <c r="L16" s="70"/>
      <c r="M16" s="70"/>
      <c r="N16" s="70"/>
      <c r="O16" s="70"/>
      <c r="P16" s="70"/>
      <c r="Q16" s="70"/>
      <c r="R16" s="70"/>
      <c r="S16" s="70"/>
    </row>
    <row r="17" spans="1:19" ht="15.95" customHeight="1">
      <c r="A17" s="913">
        <v>1980</v>
      </c>
      <c r="B17" s="914">
        <v>9.8000000000000007</v>
      </c>
      <c r="C17" s="914"/>
      <c r="D17" s="914">
        <v>87.3</v>
      </c>
      <c r="E17" s="914">
        <v>0</v>
      </c>
      <c r="F17" s="914"/>
      <c r="G17" s="914">
        <v>24.7</v>
      </c>
      <c r="H17" s="914">
        <v>43</v>
      </c>
      <c r="I17" s="915">
        <v>164.79999999999998</v>
      </c>
      <c r="J17" s="70"/>
      <c r="K17" s="70"/>
      <c r="L17" s="70"/>
      <c r="M17" s="70"/>
      <c r="N17" s="70"/>
      <c r="O17" s="70"/>
      <c r="P17" s="70"/>
      <c r="Q17" s="70"/>
      <c r="R17" s="70"/>
      <c r="S17" s="70"/>
    </row>
    <row r="18" spans="1:19" ht="15.95" customHeight="1">
      <c r="A18" s="76">
        <v>1981</v>
      </c>
      <c r="B18" s="621">
        <v>11.6</v>
      </c>
      <c r="C18" s="621"/>
      <c r="D18" s="621">
        <v>80.099999999999994</v>
      </c>
      <c r="E18" s="621">
        <v>0</v>
      </c>
      <c r="F18" s="621"/>
      <c r="G18" s="621">
        <v>25.4</v>
      </c>
      <c r="H18" s="621">
        <v>44.8</v>
      </c>
      <c r="I18" s="619">
        <v>161.9</v>
      </c>
      <c r="J18" s="70"/>
      <c r="K18" s="70"/>
      <c r="L18" s="70"/>
      <c r="M18" s="70"/>
      <c r="N18" s="70"/>
      <c r="O18" s="70"/>
      <c r="P18" s="70"/>
      <c r="Q18" s="70"/>
      <c r="R18" s="70"/>
      <c r="S18" s="70"/>
    </row>
    <row r="19" spans="1:19" ht="15.95" customHeight="1">
      <c r="A19" s="913">
        <v>1982</v>
      </c>
      <c r="B19" s="914">
        <v>11.3</v>
      </c>
      <c r="C19" s="914"/>
      <c r="D19" s="914">
        <v>68.599999999999994</v>
      </c>
      <c r="E19" s="914">
        <v>0</v>
      </c>
      <c r="F19" s="914"/>
      <c r="G19" s="914">
        <v>25.6</v>
      </c>
      <c r="H19" s="914">
        <v>48.2</v>
      </c>
      <c r="I19" s="915">
        <v>153.69999999999999</v>
      </c>
      <c r="J19" s="70"/>
      <c r="K19" s="70"/>
      <c r="L19" s="70"/>
      <c r="M19" s="70"/>
      <c r="N19" s="70"/>
      <c r="O19" s="70"/>
      <c r="P19" s="70"/>
      <c r="Q19" s="70"/>
      <c r="R19" s="70"/>
      <c r="S19" s="70"/>
    </row>
    <row r="20" spans="1:19" ht="15.95" customHeight="1">
      <c r="A20" s="76">
        <v>1983</v>
      </c>
      <c r="B20" s="621">
        <v>10.449444444444444</v>
      </c>
      <c r="C20" s="621">
        <v>0.3183333333333333</v>
      </c>
      <c r="D20" s="621">
        <v>56.69361111111111</v>
      </c>
      <c r="E20" s="621">
        <v>0.5675</v>
      </c>
      <c r="F20" s="621">
        <v>0</v>
      </c>
      <c r="G20" s="621">
        <v>26.1</v>
      </c>
      <c r="H20" s="621">
        <v>51.230833333333329</v>
      </c>
      <c r="I20" s="619">
        <v>145.35972222222222</v>
      </c>
      <c r="J20" s="244"/>
      <c r="K20" s="70"/>
      <c r="L20" s="70"/>
      <c r="M20" s="70"/>
      <c r="N20" s="70"/>
      <c r="O20" s="70"/>
      <c r="P20" s="70"/>
      <c r="Q20" s="70"/>
      <c r="R20" s="70"/>
      <c r="S20" s="70"/>
    </row>
    <row r="21" spans="1:19" ht="15.95" customHeight="1">
      <c r="A21" s="913">
        <v>1984</v>
      </c>
      <c r="B21" s="914">
        <v>11.860277777777778</v>
      </c>
      <c r="C21" s="914">
        <v>0.41638888888888886</v>
      </c>
      <c r="D21" s="914">
        <v>50.592777777777776</v>
      </c>
      <c r="E21" s="914">
        <v>0.49305555555555552</v>
      </c>
      <c r="F21" s="914">
        <v>0</v>
      </c>
      <c r="G21" s="914">
        <v>27.3</v>
      </c>
      <c r="H21" s="914">
        <v>54.42</v>
      </c>
      <c r="I21" s="915">
        <v>145.08250000000001</v>
      </c>
      <c r="J21" s="244"/>
      <c r="K21" s="70"/>
      <c r="L21" s="70"/>
      <c r="M21" s="70"/>
      <c r="N21" s="70"/>
      <c r="O21" s="70"/>
      <c r="P21" s="70"/>
      <c r="Q21" s="70"/>
      <c r="R21" s="70"/>
      <c r="S21" s="70"/>
    </row>
    <row r="22" spans="1:19" ht="15.95" customHeight="1">
      <c r="A22" s="76">
        <v>1985</v>
      </c>
      <c r="B22" s="621">
        <v>13.760833333333332</v>
      </c>
      <c r="C22" s="621">
        <v>0.45416666666666661</v>
      </c>
      <c r="D22" s="621">
        <v>49.416388888888882</v>
      </c>
      <c r="E22" s="621">
        <v>0.54083333333333339</v>
      </c>
      <c r="F22" s="621">
        <v>0</v>
      </c>
      <c r="G22" s="621">
        <v>33.9</v>
      </c>
      <c r="H22" s="621">
        <v>62.931111111111107</v>
      </c>
      <c r="I22" s="619">
        <v>161.00333333333333</v>
      </c>
      <c r="J22" s="244"/>
      <c r="K22" s="70"/>
      <c r="L22" s="70"/>
      <c r="M22" s="70"/>
      <c r="N22" s="70"/>
      <c r="O22" s="70"/>
      <c r="P22" s="70"/>
      <c r="Q22" s="70"/>
      <c r="R22" s="70"/>
      <c r="S22" s="70"/>
    </row>
    <row r="23" spans="1:19" ht="15.95" customHeight="1">
      <c r="A23" s="913">
        <v>1986</v>
      </c>
      <c r="B23" s="914">
        <v>13.160555555555554</v>
      </c>
      <c r="C23" s="914">
        <v>0.4861111111111111</v>
      </c>
      <c r="D23" s="914">
        <v>44.489444444444437</v>
      </c>
      <c r="E23" s="914">
        <v>0.74555555555555553</v>
      </c>
      <c r="F23" s="914">
        <v>0</v>
      </c>
      <c r="G23" s="914">
        <v>33</v>
      </c>
      <c r="H23" s="914">
        <v>63.518055555555556</v>
      </c>
      <c r="I23" s="915">
        <v>155.39972222222221</v>
      </c>
      <c r="J23" s="244"/>
      <c r="K23" s="70"/>
      <c r="L23" s="70"/>
      <c r="M23" s="70"/>
      <c r="N23" s="70"/>
      <c r="O23" s="70"/>
      <c r="P23" s="70"/>
      <c r="Q23" s="70"/>
      <c r="R23" s="70"/>
      <c r="S23" s="70"/>
    </row>
    <row r="24" spans="1:19" ht="15.95" customHeight="1">
      <c r="A24" s="76">
        <v>1987</v>
      </c>
      <c r="B24" s="621">
        <v>12.071944444444444</v>
      </c>
      <c r="C24" s="621">
        <v>0.56777777777777771</v>
      </c>
      <c r="D24" s="621">
        <v>47.973611111111119</v>
      </c>
      <c r="E24" s="621">
        <v>0.9786111111111111</v>
      </c>
      <c r="F24" s="621">
        <v>0</v>
      </c>
      <c r="G24" s="621">
        <v>35.299999999999997</v>
      </c>
      <c r="H24" s="621">
        <v>65.771111111111111</v>
      </c>
      <c r="I24" s="619">
        <v>162.66305555555556</v>
      </c>
      <c r="J24" s="244"/>
      <c r="K24" s="70"/>
      <c r="L24" s="70"/>
      <c r="M24" s="70"/>
      <c r="N24" s="70"/>
      <c r="O24" s="70"/>
      <c r="P24" s="70"/>
      <c r="Q24" s="70"/>
      <c r="R24" s="70"/>
      <c r="S24" s="70"/>
    </row>
    <row r="25" spans="1:19" ht="15.95" customHeight="1">
      <c r="A25" s="913">
        <v>1988</v>
      </c>
      <c r="B25" s="914">
        <v>11.455555555555554</v>
      </c>
      <c r="C25" s="914">
        <v>0.57527777777777767</v>
      </c>
      <c r="D25" s="914">
        <v>44.962777777777781</v>
      </c>
      <c r="E25" s="914">
        <v>1.0183333333333333</v>
      </c>
      <c r="F25" s="914">
        <v>0</v>
      </c>
      <c r="G25" s="914">
        <v>32.18</v>
      </c>
      <c r="H25" s="914">
        <v>64.471111111111114</v>
      </c>
      <c r="I25" s="915">
        <v>154.66305555555556</v>
      </c>
      <c r="J25" s="244"/>
      <c r="K25" s="70"/>
      <c r="L25" s="70"/>
      <c r="M25" s="70"/>
      <c r="N25" s="70"/>
      <c r="O25" s="70"/>
      <c r="P25" s="70"/>
      <c r="Q25" s="70"/>
      <c r="R25" s="70"/>
      <c r="S25" s="70"/>
    </row>
    <row r="26" spans="1:19" ht="15.95" customHeight="1">
      <c r="A26" s="76">
        <v>1989</v>
      </c>
      <c r="B26" s="621">
        <v>11.025555555555554</v>
      </c>
      <c r="C26" s="621">
        <v>0.54500000000000004</v>
      </c>
      <c r="D26" s="621">
        <v>41.517777777777773</v>
      </c>
      <c r="E26" s="621">
        <v>1.1480555555555554</v>
      </c>
      <c r="F26" s="621">
        <v>0</v>
      </c>
      <c r="G26" s="621">
        <v>29.911944444444444</v>
      </c>
      <c r="H26" s="621">
        <v>63.876111111111108</v>
      </c>
      <c r="I26" s="619">
        <v>148.02444444444444</v>
      </c>
      <c r="J26" s="244"/>
      <c r="K26" s="70"/>
      <c r="L26" s="70"/>
      <c r="M26" s="70"/>
      <c r="N26" s="70"/>
      <c r="O26" s="70"/>
      <c r="P26" s="70"/>
      <c r="Q26" s="70"/>
      <c r="R26" s="70"/>
      <c r="S26" s="70"/>
    </row>
    <row r="27" spans="1:19" ht="15.95" customHeight="1">
      <c r="A27" s="913">
        <v>1990</v>
      </c>
      <c r="B27" s="914">
        <v>11.153055555555556</v>
      </c>
      <c r="C27" s="914">
        <v>0.47694444444444445</v>
      </c>
      <c r="D27" s="914">
        <v>41.118055555555557</v>
      </c>
      <c r="E27" s="914">
        <v>1.3033333333333332</v>
      </c>
      <c r="F27" s="914">
        <v>0</v>
      </c>
      <c r="G27" s="914">
        <v>30.693055555555556</v>
      </c>
      <c r="H27" s="914">
        <v>65.006944444444443</v>
      </c>
      <c r="I27" s="915">
        <v>149.7513888888889</v>
      </c>
      <c r="J27" s="244"/>
      <c r="K27" s="70"/>
      <c r="L27" s="70"/>
      <c r="M27" s="70"/>
      <c r="N27" s="70"/>
      <c r="O27" s="70"/>
      <c r="P27" s="70"/>
      <c r="Q27" s="70"/>
      <c r="R27" s="70"/>
      <c r="S27" s="70"/>
    </row>
    <row r="28" spans="1:19" ht="15.95" customHeight="1">
      <c r="A28" s="76">
        <v>1991</v>
      </c>
      <c r="B28" s="621">
        <v>11.176388888888889</v>
      </c>
      <c r="C28" s="621">
        <v>0.31805555555555554</v>
      </c>
      <c r="D28" s="621">
        <v>40.376111111111108</v>
      </c>
      <c r="E28" s="621">
        <v>1.5166666666666666</v>
      </c>
      <c r="F28" s="621">
        <v>0</v>
      </c>
      <c r="G28" s="621">
        <v>34.308055555555555</v>
      </c>
      <c r="H28" s="621">
        <v>68.89</v>
      </c>
      <c r="I28" s="619">
        <v>156.58527777777778</v>
      </c>
      <c r="J28" s="244"/>
      <c r="K28" s="70"/>
      <c r="L28" s="70"/>
      <c r="M28" s="70"/>
      <c r="N28" s="70"/>
      <c r="O28" s="70"/>
      <c r="P28" s="70"/>
      <c r="Q28" s="70"/>
      <c r="R28" s="70"/>
      <c r="S28" s="70"/>
    </row>
    <row r="29" spans="1:19" ht="15.95" customHeight="1">
      <c r="A29" s="913">
        <v>1992</v>
      </c>
      <c r="B29" s="914">
        <v>11.176388888888889</v>
      </c>
      <c r="C29" s="914">
        <v>0.17416666666666666</v>
      </c>
      <c r="D29" s="914">
        <v>37.763055555555553</v>
      </c>
      <c r="E29" s="914">
        <v>1.5552777777777778</v>
      </c>
      <c r="F29" s="914">
        <v>0</v>
      </c>
      <c r="G29" s="914">
        <v>34.116944444444442</v>
      </c>
      <c r="H29" s="914">
        <v>67.814166666666665</v>
      </c>
      <c r="I29" s="915">
        <v>152.6</v>
      </c>
      <c r="J29" s="244"/>
      <c r="K29" s="70"/>
      <c r="L29" s="70"/>
      <c r="M29" s="70"/>
      <c r="N29" s="70"/>
      <c r="O29" s="70"/>
      <c r="P29" s="70"/>
      <c r="Q29" s="70"/>
      <c r="R29" s="70"/>
      <c r="S29" s="70"/>
    </row>
    <row r="30" spans="1:19" ht="15.95" customHeight="1">
      <c r="A30" s="76">
        <v>1993</v>
      </c>
      <c r="B30" s="621">
        <v>11.164444444444444</v>
      </c>
      <c r="C30" s="621">
        <v>0.10611111111111111</v>
      </c>
      <c r="D30" s="621">
        <v>38.003888888888881</v>
      </c>
      <c r="E30" s="621">
        <v>1.6141666666666667</v>
      </c>
      <c r="F30" s="621">
        <v>0</v>
      </c>
      <c r="G30" s="621">
        <v>36.361111111111107</v>
      </c>
      <c r="H30" s="621">
        <v>69.424999999999997</v>
      </c>
      <c r="I30" s="619">
        <v>156.67472222222221</v>
      </c>
      <c r="J30" s="244"/>
      <c r="K30" s="70"/>
      <c r="L30" s="70"/>
      <c r="M30" s="70"/>
      <c r="N30" s="70"/>
      <c r="O30" s="70"/>
      <c r="P30" s="70"/>
      <c r="Q30" s="70"/>
      <c r="R30" s="70"/>
      <c r="S30" s="70"/>
    </row>
    <row r="31" spans="1:19" ht="15.95" customHeight="1">
      <c r="A31" s="913">
        <v>1994</v>
      </c>
      <c r="B31" s="914">
        <v>10.548055555555555</v>
      </c>
      <c r="C31" s="914">
        <v>7.5555555555555556E-2</v>
      </c>
      <c r="D31" s="914">
        <v>37.892499999999991</v>
      </c>
      <c r="E31" s="914">
        <v>1.588888888888889</v>
      </c>
      <c r="F31" s="914">
        <v>0</v>
      </c>
      <c r="G31" s="914">
        <v>36.614166666666662</v>
      </c>
      <c r="H31" s="914">
        <v>70.210277777777776</v>
      </c>
      <c r="I31" s="915">
        <v>156.92944444444441</v>
      </c>
      <c r="J31" s="244"/>
      <c r="K31" s="70"/>
      <c r="L31" s="70"/>
      <c r="M31" s="70"/>
      <c r="N31" s="70"/>
      <c r="O31" s="70"/>
      <c r="P31" s="70"/>
      <c r="Q31" s="70"/>
      <c r="R31" s="70"/>
      <c r="S31" s="70"/>
    </row>
    <row r="32" spans="1:19" ht="15.95" customHeight="1">
      <c r="A32" s="76">
        <v>1995</v>
      </c>
      <c r="B32" s="621">
        <v>11.338888888888889</v>
      </c>
      <c r="C32" s="621">
        <v>3.7777777777777778E-2</v>
      </c>
      <c r="D32" s="621">
        <v>36.159444444444446</v>
      </c>
      <c r="E32" s="621">
        <v>1.776388888888889</v>
      </c>
      <c r="F32" s="621">
        <v>0</v>
      </c>
      <c r="G32" s="621">
        <v>37.123888888888892</v>
      </c>
      <c r="H32" s="621">
        <v>70.428055555555545</v>
      </c>
      <c r="I32" s="619">
        <v>156.86444444444444</v>
      </c>
      <c r="J32" s="244"/>
      <c r="K32" s="70"/>
      <c r="L32" s="70"/>
      <c r="M32" s="70"/>
      <c r="N32" s="70"/>
      <c r="O32" s="70"/>
      <c r="P32" s="70"/>
      <c r="Q32" s="70"/>
      <c r="R32" s="70"/>
      <c r="S32" s="70"/>
    </row>
    <row r="33" spans="1:19" ht="15.95" customHeight="1">
      <c r="A33" s="913">
        <v>1996</v>
      </c>
      <c r="B33" s="914">
        <v>11.606666666666666</v>
      </c>
      <c r="C33" s="914">
        <v>1.4999999999999999E-2</v>
      </c>
      <c r="D33" s="914">
        <v>36.714444444444446</v>
      </c>
      <c r="E33" s="914">
        <v>1.9202777777777775</v>
      </c>
      <c r="F33" s="914">
        <v>0</v>
      </c>
      <c r="G33" s="914">
        <v>41.046944444444442</v>
      </c>
      <c r="H33" s="914">
        <v>71.601944444444442</v>
      </c>
      <c r="I33" s="915">
        <v>162.90527777777777</v>
      </c>
      <c r="J33" s="244"/>
      <c r="K33" s="70"/>
      <c r="L33" s="70"/>
      <c r="M33" s="70"/>
      <c r="N33" s="70"/>
      <c r="O33" s="70"/>
      <c r="P33" s="70"/>
      <c r="Q33" s="70"/>
      <c r="R33" s="70"/>
      <c r="S33" s="70"/>
    </row>
    <row r="34" spans="1:19" ht="15.95" customHeight="1">
      <c r="A34" s="76">
        <v>1997</v>
      </c>
      <c r="B34" s="621">
        <v>11.001666666666667</v>
      </c>
      <c r="C34" s="621">
        <v>4.5555555555555557E-2</v>
      </c>
      <c r="D34" s="621">
        <v>33.418611111111112</v>
      </c>
      <c r="E34" s="621">
        <v>1.8183333333333334</v>
      </c>
      <c r="F34" s="621">
        <v>0</v>
      </c>
      <c r="G34" s="621">
        <v>37.603888888888889</v>
      </c>
      <c r="H34" s="621">
        <v>69.571944444444441</v>
      </c>
      <c r="I34" s="619">
        <v>153.46</v>
      </c>
      <c r="J34" s="244"/>
      <c r="K34" s="70"/>
      <c r="L34" s="70"/>
      <c r="M34" s="70"/>
      <c r="N34" s="70"/>
      <c r="O34" s="70"/>
      <c r="P34" s="70"/>
      <c r="Q34" s="70"/>
      <c r="R34" s="70"/>
      <c r="S34" s="70"/>
    </row>
    <row r="35" spans="1:19" ht="15.95" customHeight="1">
      <c r="A35" s="913">
        <v>1998</v>
      </c>
      <c r="B35" s="914">
        <v>10.815833333333334</v>
      </c>
      <c r="C35" s="914">
        <v>2.2777777777777779E-2</v>
      </c>
      <c r="D35" s="914">
        <v>32.076944444444443</v>
      </c>
      <c r="E35" s="914">
        <v>1.9580555555555557</v>
      </c>
      <c r="F35" s="914">
        <v>0</v>
      </c>
      <c r="G35" s="914">
        <v>38.966944444444444</v>
      </c>
      <c r="H35" s="914">
        <v>69.924722222222215</v>
      </c>
      <c r="I35" s="915">
        <v>153.76527777777775</v>
      </c>
      <c r="J35" s="244"/>
      <c r="K35" s="70"/>
      <c r="L35" s="70"/>
      <c r="M35" s="70"/>
      <c r="N35" s="70"/>
      <c r="O35" s="70"/>
      <c r="P35" s="70"/>
      <c r="Q35" s="70"/>
      <c r="R35" s="70"/>
      <c r="S35" s="70"/>
    </row>
    <row r="36" spans="1:19" ht="15.95" customHeight="1">
      <c r="A36" s="76">
        <v>1999</v>
      </c>
      <c r="B36" s="621">
        <v>10.208333333333334</v>
      </c>
      <c r="C36" s="621">
        <v>1.4999999999999999E-2</v>
      </c>
      <c r="D36" s="621">
        <v>30.371111111111109</v>
      </c>
      <c r="E36" s="621">
        <v>1.9830555555555553</v>
      </c>
      <c r="F36" s="621">
        <v>0</v>
      </c>
      <c r="G36" s="621">
        <v>39.291944444444447</v>
      </c>
      <c r="H36" s="621">
        <v>69.099722222222212</v>
      </c>
      <c r="I36" s="619">
        <v>150.96916666666667</v>
      </c>
      <c r="J36" s="244"/>
      <c r="K36" s="70"/>
      <c r="L36" s="70"/>
      <c r="M36" s="70"/>
      <c r="N36" s="70"/>
      <c r="O36" s="70"/>
      <c r="P36" s="70"/>
      <c r="Q36" s="70"/>
      <c r="R36" s="70"/>
      <c r="S36" s="70"/>
    </row>
    <row r="37" spans="1:19" ht="15.95" customHeight="1">
      <c r="A37" s="913">
        <v>2000</v>
      </c>
      <c r="B37" s="914">
        <v>10.306388888888888</v>
      </c>
      <c r="C37" s="914">
        <v>1.4999999999999999E-2</v>
      </c>
      <c r="D37" s="914">
        <v>30.015555555555554</v>
      </c>
      <c r="E37" s="914">
        <v>1.8386111111111112</v>
      </c>
      <c r="F37" s="914">
        <v>0</v>
      </c>
      <c r="G37" s="914">
        <v>37.347777777777772</v>
      </c>
      <c r="H37" s="914">
        <v>68.951666666666668</v>
      </c>
      <c r="I37" s="915">
        <v>148.47499999999999</v>
      </c>
      <c r="J37" s="244"/>
      <c r="K37" s="70"/>
      <c r="L37" s="70"/>
      <c r="M37" s="70"/>
      <c r="N37" s="70"/>
      <c r="O37" s="70"/>
      <c r="P37" s="70"/>
      <c r="Q37" s="70"/>
      <c r="R37" s="70"/>
      <c r="S37" s="70"/>
    </row>
    <row r="38" spans="1:19" ht="15.95" customHeight="1">
      <c r="A38" s="76">
        <v>2001</v>
      </c>
      <c r="B38" s="621">
        <v>10.820555555555554</v>
      </c>
      <c r="C38" s="621">
        <v>1.3888888888888889E-3</v>
      </c>
      <c r="D38" s="621">
        <v>28.170277777777777</v>
      </c>
      <c r="E38" s="621">
        <v>1.9875</v>
      </c>
      <c r="F38" s="621">
        <v>0</v>
      </c>
      <c r="G38" s="621">
        <v>40.599166666666662</v>
      </c>
      <c r="H38" s="621">
        <v>73.135833333333323</v>
      </c>
      <c r="I38" s="619">
        <v>154.71472222222221</v>
      </c>
      <c r="J38" s="244"/>
      <c r="K38" s="70"/>
      <c r="L38" s="70"/>
      <c r="M38" s="70"/>
      <c r="N38" s="70"/>
      <c r="O38" s="70"/>
      <c r="P38" s="70"/>
      <c r="Q38" s="70"/>
      <c r="R38" s="70"/>
      <c r="S38" s="70"/>
    </row>
    <row r="39" spans="1:19" ht="15.95" customHeight="1">
      <c r="A39" s="913">
        <v>2002</v>
      </c>
      <c r="B39" s="914">
        <v>11.321666666666665</v>
      </c>
      <c r="C39" s="914">
        <v>1.3888888888888889E-3</v>
      </c>
      <c r="D39" s="914">
        <v>26.293055555555554</v>
      </c>
      <c r="E39" s="914">
        <v>2.1091666666666664</v>
      </c>
      <c r="F39" s="914">
        <v>0</v>
      </c>
      <c r="G39" s="914">
        <v>41.096944444444446</v>
      </c>
      <c r="H39" s="914">
        <v>72.52</v>
      </c>
      <c r="I39" s="915">
        <v>153.34222222222223</v>
      </c>
      <c r="J39" s="244"/>
      <c r="K39" s="70"/>
      <c r="L39" s="70"/>
      <c r="M39" s="70"/>
      <c r="N39" s="70"/>
      <c r="O39" s="70"/>
      <c r="P39" s="70"/>
      <c r="Q39" s="70"/>
      <c r="R39" s="70"/>
      <c r="S39" s="70"/>
    </row>
    <row r="40" spans="1:19" ht="15.95" customHeight="1">
      <c r="A40" s="76">
        <v>2003</v>
      </c>
      <c r="B40" s="621">
        <v>12.844166666666666</v>
      </c>
      <c r="C40" s="621">
        <v>1.3888888888888889E-3</v>
      </c>
      <c r="D40" s="621">
        <v>24.431111111111111</v>
      </c>
      <c r="E40" s="621">
        <v>2.2349999999999999</v>
      </c>
      <c r="F40" s="621">
        <v>0</v>
      </c>
      <c r="G40" s="621">
        <v>42.106944444444444</v>
      </c>
      <c r="H40" s="621">
        <v>72.091111111111104</v>
      </c>
      <c r="I40" s="619">
        <v>153.70972222222221</v>
      </c>
      <c r="J40" s="244"/>
      <c r="K40" s="70"/>
      <c r="L40" s="70"/>
      <c r="M40" s="70"/>
      <c r="N40" s="70"/>
      <c r="O40" s="70"/>
      <c r="P40" s="70"/>
      <c r="Q40" s="70"/>
      <c r="R40" s="70"/>
      <c r="S40" s="70"/>
    </row>
    <row r="41" spans="1:19" ht="15.95" customHeight="1">
      <c r="A41" s="913">
        <v>2004</v>
      </c>
      <c r="B41" s="914">
        <v>12.583055555555555</v>
      </c>
      <c r="C41" s="914">
        <v>1.3888888888888889E-3</v>
      </c>
      <c r="D41" s="914">
        <v>22.179444444444446</v>
      </c>
      <c r="E41" s="914">
        <v>2.2280555555555557</v>
      </c>
      <c r="F41" s="914">
        <v>0</v>
      </c>
      <c r="G41" s="914">
        <v>42.006944444444443</v>
      </c>
      <c r="H41" s="914">
        <v>72.027222222222221</v>
      </c>
      <c r="I41" s="915">
        <v>151.02611111111111</v>
      </c>
      <c r="J41" s="244"/>
      <c r="K41" s="70"/>
      <c r="L41" s="70"/>
      <c r="M41" s="70"/>
      <c r="N41" s="70"/>
      <c r="O41" s="70"/>
      <c r="P41" s="70"/>
      <c r="Q41" s="70"/>
      <c r="R41" s="70"/>
      <c r="S41" s="70"/>
    </row>
    <row r="42" spans="1:19" ht="15.95" customHeight="1">
      <c r="A42" s="76">
        <v>2005</v>
      </c>
      <c r="B42" s="621">
        <v>13.341666666666667</v>
      </c>
      <c r="C42" s="621">
        <v>0</v>
      </c>
      <c r="D42" s="621">
        <v>18.946388888888887</v>
      </c>
      <c r="E42" s="621">
        <v>1.9497222222222221</v>
      </c>
      <c r="F42" s="621">
        <v>4.4444444444444444E-3</v>
      </c>
      <c r="G42" s="621">
        <v>42.610833333333339</v>
      </c>
      <c r="H42" s="621">
        <v>71.656111111111116</v>
      </c>
      <c r="I42" s="619">
        <v>148.50916666666666</v>
      </c>
      <c r="J42" s="244"/>
      <c r="K42" s="70"/>
      <c r="L42" s="70"/>
      <c r="M42" s="70"/>
      <c r="N42" s="70"/>
      <c r="O42" s="70"/>
      <c r="P42" s="70"/>
      <c r="Q42" s="70"/>
      <c r="R42" s="70"/>
      <c r="S42" s="70"/>
    </row>
    <row r="43" spans="1:19" ht="15.95" customHeight="1">
      <c r="A43" s="913">
        <v>2006</v>
      </c>
      <c r="B43" s="914">
        <v>12.608888888888888</v>
      </c>
      <c r="C43" s="914">
        <v>0</v>
      </c>
      <c r="D43" s="914">
        <v>16.510555555555555</v>
      </c>
      <c r="E43" s="914">
        <v>2.0947222222222224</v>
      </c>
      <c r="F43" s="914">
        <v>0.16</v>
      </c>
      <c r="G43" s="914">
        <v>42.039166666666667</v>
      </c>
      <c r="H43" s="914">
        <v>71.394722222222214</v>
      </c>
      <c r="I43" s="915">
        <v>144.80805555555554</v>
      </c>
      <c r="J43" s="244"/>
      <c r="K43" s="70"/>
      <c r="L43" s="70"/>
      <c r="M43" s="70"/>
      <c r="N43" s="70"/>
      <c r="O43" s="70"/>
      <c r="P43" s="70"/>
      <c r="Q43" s="70"/>
      <c r="R43" s="70"/>
      <c r="S43" s="70"/>
    </row>
    <row r="44" spans="1:19" ht="15.95" customHeight="1">
      <c r="A44" s="76">
        <v>2007</v>
      </c>
      <c r="B44" s="621">
        <v>13.716111111111111</v>
      </c>
      <c r="C44" s="621">
        <v>0</v>
      </c>
      <c r="D44" s="621">
        <v>16.563055555555554</v>
      </c>
      <c r="E44" s="621">
        <v>2.1186111111111114</v>
      </c>
      <c r="F44" s="621">
        <v>9.6666666666666651E-2</v>
      </c>
      <c r="G44" s="621">
        <v>42.432222222222222</v>
      </c>
      <c r="H44" s="621">
        <v>69.192499999999995</v>
      </c>
      <c r="I44" s="619">
        <v>144.11916666666667</v>
      </c>
      <c r="J44" s="244"/>
      <c r="K44" s="70"/>
      <c r="L44" s="70"/>
      <c r="M44" s="70"/>
      <c r="N44" s="70"/>
      <c r="O44" s="70"/>
      <c r="P44" s="70"/>
      <c r="Q44" s="70"/>
      <c r="R44" s="70"/>
      <c r="S44" s="70"/>
    </row>
    <row r="45" spans="1:19" ht="15.95" customHeight="1">
      <c r="A45" s="913">
        <v>2008</v>
      </c>
      <c r="B45" s="914">
        <v>13.971944444444443</v>
      </c>
      <c r="C45" s="914">
        <v>0</v>
      </c>
      <c r="D45" s="914">
        <v>15.061111111111112</v>
      </c>
      <c r="E45" s="914">
        <v>1.4813888888888889</v>
      </c>
      <c r="F45" s="914">
        <v>6.8611111111111109E-2</v>
      </c>
      <c r="G45" s="914">
        <v>42.588888888888889</v>
      </c>
      <c r="H45" s="914">
        <v>68.196666666666673</v>
      </c>
      <c r="I45" s="915">
        <v>141.36861111111114</v>
      </c>
      <c r="J45" s="244"/>
      <c r="K45" s="70"/>
      <c r="L45" s="70"/>
      <c r="M45" s="70"/>
      <c r="N45" s="70"/>
      <c r="O45" s="70"/>
      <c r="P45" s="70"/>
      <c r="Q45" s="70"/>
      <c r="R45" s="70"/>
      <c r="S45" s="70"/>
    </row>
    <row r="46" spans="1:19" ht="15.95" customHeight="1">
      <c r="A46" s="227">
        <v>2009</v>
      </c>
      <c r="B46" s="622">
        <v>14.847777777777777</v>
      </c>
      <c r="C46" s="622">
        <v>0</v>
      </c>
      <c r="D46" s="622">
        <v>13.823055555555555</v>
      </c>
      <c r="E46" s="622">
        <v>1.6969444444444444</v>
      </c>
      <c r="F46" s="622">
        <v>6.6944444444444445E-2</v>
      </c>
      <c r="G46" s="622">
        <v>43.601666666666667</v>
      </c>
      <c r="H46" s="622">
        <v>71.416388888888889</v>
      </c>
      <c r="I46" s="620">
        <v>145.45277777777778</v>
      </c>
      <c r="J46" s="244"/>
      <c r="K46" s="70"/>
      <c r="L46" s="70"/>
      <c r="M46" s="70"/>
      <c r="N46" s="70"/>
      <c r="O46" s="70"/>
      <c r="P46" s="70"/>
      <c r="Q46" s="70"/>
      <c r="R46" s="70"/>
      <c r="S46" s="70"/>
    </row>
    <row r="47" spans="1:19" ht="15.95" customHeight="1">
      <c r="A47" s="913">
        <v>2010</v>
      </c>
      <c r="B47" s="914">
        <v>14.71</v>
      </c>
      <c r="C47" s="914">
        <v>0</v>
      </c>
      <c r="D47" s="914">
        <v>14.362777777777778</v>
      </c>
      <c r="E47" s="914">
        <v>2.3283333333333336</v>
      </c>
      <c r="F47" s="914">
        <v>4.9166666666666664E-2</v>
      </c>
      <c r="G47" s="914">
        <v>49.314722222222215</v>
      </c>
      <c r="H47" s="914">
        <v>74.656388888888884</v>
      </c>
      <c r="I47" s="915">
        <v>155.42138888888888</v>
      </c>
      <c r="J47" s="244"/>
      <c r="K47" s="70"/>
      <c r="L47" s="70"/>
      <c r="M47" s="70"/>
      <c r="N47" s="70"/>
      <c r="O47" s="70"/>
      <c r="P47" s="70"/>
      <c r="Q47" s="70"/>
      <c r="R47" s="70"/>
      <c r="S47" s="70"/>
    </row>
    <row r="48" spans="1:19" ht="15.95" customHeight="1">
      <c r="A48" s="76">
        <v>2011</v>
      </c>
      <c r="B48" s="621">
        <v>15.038611111111111</v>
      </c>
      <c r="C48" s="621">
        <v>0</v>
      </c>
      <c r="D48" s="621">
        <v>13.693333333333332</v>
      </c>
      <c r="E48" s="621">
        <v>1.6013888888888888</v>
      </c>
      <c r="F48" s="621">
        <v>9.194444444444444E-2</v>
      </c>
      <c r="G48" s="621">
        <v>42.858888888888892</v>
      </c>
      <c r="H48" s="621">
        <v>69.628611111111113</v>
      </c>
      <c r="I48" s="619">
        <v>142.91277777777776</v>
      </c>
      <c r="J48" s="244"/>
      <c r="K48" s="70"/>
      <c r="L48" s="70"/>
      <c r="M48" s="70"/>
      <c r="N48" s="70"/>
      <c r="O48" s="70"/>
      <c r="P48" s="70"/>
      <c r="Q48" s="70"/>
      <c r="R48" s="70"/>
      <c r="S48" s="70"/>
    </row>
    <row r="49" spans="1:19" ht="15.95" customHeight="1">
      <c r="A49" s="913">
        <v>2012</v>
      </c>
      <c r="B49" s="914">
        <v>14.730833333333333</v>
      </c>
      <c r="C49" s="914">
        <v>0</v>
      </c>
      <c r="D49" s="914">
        <v>12.758611111111113</v>
      </c>
      <c r="E49" s="914">
        <v>1.6672222222222222</v>
      </c>
      <c r="F49" s="914">
        <v>4.1388888888888885E-2</v>
      </c>
      <c r="G49" s="914">
        <v>45.67</v>
      </c>
      <c r="H49" s="914">
        <v>71.245555555555541</v>
      </c>
      <c r="I49" s="915">
        <v>146.11361111111108</v>
      </c>
      <c r="J49" s="70"/>
      <c r="K49" s="70"/>
      <c r="L49" s="70"/>
      <c r="M49" s="70"/>
      <c r="N49" s="70"/>
      <c r="O49" s="70"/>
      <c r="P49" s="70"/>
      <c r="Q49" s="70"/>
      <c r="R49" s="70"/>
      <c r="S49" s="70"/>
    </row>
    <row r="50" spans="1:19" ht="15.95" customHeight="1">
      <c r="A50" s="76">
        <v>2013</v>
      </c>
      <c r="B50" s="621">
        <v>14.7075</v>
      </c>
      <c r="C50" s="621">
        <v>0</v>
      </c>
      <c r="D50" s="621">
        <v>12.542500000000002</v>
      </c>
      <c r="E50" s="621">
        <v>1.5697222222222222</v>
      </c>
      <c r="F50" s="621">
        <v>2.027777777777778E-2</v>
      </c>
      <c r="G50" s="621">
        <v>46.793611111111112</v>
      </c>
      <c r="H50" s="621">
        <v>70.906388888888884</v>
      </c>
      <c r="I50" s="619">
        <v>146.54</v>
      </c>
      <c r="J50" s="244"/>
      <c r="K50" s="70"/>
      <c r="L50" s="70"/>
      <c r="M50" s="70"/>
      <c r="N50" s="70"/>
      <c r="O50" s="70"/>
      <c r="P50" s="70"/>
      <c r="Q50" s="70"/>
      <c r="R50" s="70"/>
      <c r="S50" s="70"/>
    </row>
    <row r="51" spans="1:19" ht="15.95" customHeight="1">
      <c r="A51" s="913">
        <v>2014</v>
      </c>
      <c r="B51" s="914">
        <v>13.669166666666666</v>
      </c>
      <c r="C51" s="914">
        <v>0</v>
      </c>
      <c r="D51" s="914">
        <v>12.301944444444443</v>
      </c>
      <c r="E51" s="914">
        <v>1.6944444444444444</v>
      </c>
      <c r="F51" s="914">
        <v>3.9444444444444442E-2</v>
      </c>
      <c r="G51" s="914">
        <v>44.534166666666664</v>
      </c>
      <c r="H51" s="914">
        <v>68.043333333333322</v>
      </c>
      <c r="I51" s="915">
        <v>140.28249999999997</v>
      </c>
      <c r="J51" s="70"/>
      <c r="K51" s="70"/>
      <c r="L51" s="70"/>
      <c r="M51" s="70"/>
      <c r="N51" s="70"/>
      <c r="O51" s="70"/>
      <c r="P51" s="70"/>
      <c r="Q51" s="70"/>
      <c r="R51" s="70"/>
      <c r="S51" s="70"/>
    </row>
    <row r="52" spans="1:19" ht="15.95" customHeight="1">
      <c r="A52" s="76">
        <v>2015</v>
      </c>
      <c r="B52" s="621">
        <v>13.592222222222222</v>
      </c>
      <c r="C52" s="621">
        <v>0</v>
      </c>
      <c r="D52" s="621">
        <v>12.058333333333332</v>
      </c>
      <c r="E52" s="621">
        <v>1.5866666666666667</v>
      </c>
      <c r="F52" s="621">
        <v>0.04</v>
      </c>
      <c r="G52" s="621">
        <v>44.749722222222218</v>
      </c>
      <c r="H52" s="621">
        <v>70.688611111111115</v>
      </c>
      <c r="I52" s="619">
        <v>142.71555555555557</v>
      </c>
      <c r="J52" s="244"/>
      <c r="K52" s="70"/>
      <c r="L52" s="70"/>
      <c r="M52" s="70"/>
      <c r="N52" s="70"/>
      <c r="O52" s="70"/>
      <c r="P52" s="70"/>
      <c r="Q52" s="70"/>
      <c r="R52" s="70"/>
      <c r="S52" s="70"/>
    </row>
    <row r="53" spans="1:19" ht="15.95" customHeight="1">
      <c r="B53" s="70"/>
      <c r="C53" s="70"/>
      <c r="D53" s="70"/>
      <c r="E53" s="70"/>
      <c r="F53" s="70"/>
      <c r="G53" s="70"/>
      <c r="H53" s="70"/>
      <c r="I53" s="306"/>
      <c r="J53" s="70"/>
      <c r="K53" s="70"/>
      <c r="L53" s="70"/>
      <c r="M53" s="70"/>
      <c r="N53" s="70"/>
      <c r="O53" s="70"/>
      <c r="P53" s="70"/>
      <c r="Q53" s="70"/>
      <c r="R53" s="70"/>
      <c r="S53" s="70"/>
    </row>
    <row r="54" spans="1:19" ht="13.15">
      <c r="A54" s="56" t="s">
        <v>27</v>
      </c>
      <c r="B54" s="70"/>
      <c r="C54" s="70"/>
      <c r="D54" s="70"/>
      <c r="E54" s="70"/>
      <c r="F54" s="70"/>
      <c r="G54" s="70"/>
      <c r="H54" s="70"/>
      <c r="I54" s="70"/>
      <c r="J54" s="70"/>
      <c r="K54" s="70"/>
      <c r="L54" s="70"/>
      <c r="M54" s="70"/>
      <c r="N54" s="70"/>
      <c r="O54" s="70"/>
      <c r="P54" s="70"/>
      <c r="Q54" s="70"/>
      <c r="R54" s="70"/>
      <c r="S54" s="70"/>
    </row>
    <row r="55" spans="1:19" ht="13.15">
      <c r="B55" s="70"/>
      <c r="C55" s="70"/>
      <c r="D55" s="70"/>
      <c r="E55" s="70"/>
      <c r="F55" s="70"/>
      <c r="G55" s="70"/>
      <c r="H55" s="70"/>
      <c r="I55" s="70"/>
      <c r="J55" s="70"/>
      <c r="K55" s="70"/>
      <c r="L55" s="70"/>
      <c r="M55" s="70"/>
      <c r="N55" s="70"/>
      <c r="O55" s="70"/>
      <c r="P55" s="70"/>
      <c r="Q55" s="70"/>
      <c r="R55" s="70"/>
      <c r="S55" s="70"/>
    </row>
    <row r="56" spans="1:19" ht="13.15">
      <c r="A56" s="70"/>
      <c r="B56" s="450"/>
      <c r="C56" s="70"/>
      <c r="D56" s="70"/>
      <c r="E56" s="450"/>
      <c r="F56" s="450"/>
      <c r="G56" s="70"/>
      <c r="H56" s="70"/>
      <c r="I56" s="70"/>
      <c r="J56" s="70"/>
      <c r="K56" s="70"/>
      <c r="L56" s="70"/>
      <c r="M56" s="70"/>
      <c r="N56" s="70"/>
      <c r="O56" s="70"/>
      <c r="P56" s="70"/>
      <c r="Q56" s="70"/>
      <c r="R56" s="70"/>
      <c r="S56" s="70"/>
    </row>
    <row r="57" spans="1:19" ht="13.15">
      <c r="A57" s="70"/>
      <c r="B57" s="70"/>
      <c r="C57" s="70"/>
      <c r="D57" s="70"/>
      <c r="E57" s="70"/>
      <c r="F57" s="70"/>
      <c r="G57" s="70"/>
      <c r="H57" s="70"/>
      <c r="I57" s="70"/>
      <c r="J57" s="70"/>
      <c r="K57" s="70"/>
      <c r="L57" s="70"/>
      <c r="M57" s="70"/>
      <c r="N57" s="70"/>
      <c r="O57" s="70"/>
      <c r="P57" s="70"/>
      <c r="Q57" s="70"/>
      <c r="R57" s="70"/>
      <c r="S57" s="70"/>
    </row>
    <row r="58" spans="1:19" ht="13.15">
      <c r="A58" s="70"/>
      <c r="B58" s="70"/>
      <c r="C58" s="70"/>
      <c r="D58" s="70"/>
      <c r="E58" s="70"/>
      <c r="F58" s="70"/>
      <c r="G58" s="70"/>
      <c r="H58" s="70"/>
      <c r="I58" s="70"/>
      <c r="J58" s="70"/>
      <c r="K58" s="70"/>
      <c r="L58" s="70"/>
      <c r="M58" s="70"/>
      <c r="N58" s="70"/>
      <c r="O58" s="70"/>
      <c r="P58" s="70"/>
      <c r="Q58" s="70"/>
      <c r="R58" s="70"/>
      <c r="S58" s="70"/>
    </row>
    <row r="59" spans="1:19" ht="13.15">
      <c r="A59" s="70"/>
      <c r="B59" s="70"/>
      <c r="C59" s="70"/>
      <c r="D59" s="70"/>
      <c r="E59" s="70"/>
      <c r="F59" s="70"/>
      <c r="G59" s="70"/>
      <c r="H59" s="70"/>
      <c r="I59" s="70"/>
      <c r="J59" s="70"/>
      <c r="K59" s="70"/>
      <c r="L59" s="70"/>
      <c r="M59" s="70"/>
      <c r="N59" s="70"/>
      <c r="O59" s="70"/>
      <c r="P59" s="70"/>
      <c r="Q59" s="70"/>
      <c r="R59" s="70"/>
      <c r="S59" s="70"/>
    </row>
    <row r="60" spans="1:19" ht="13.15">
      <c r="A60" s="70"/>
      <c r="B60" s="70"/>
      <c r="C60" s="70"/>
      <c r="D60" s="70"/>
      <c r="E60" s="70"/>
      <c r="F60" s="70"/>
      <c r="G60" s="70"/>
      <c r="H60" s="70"/>
      <c r="I60" s="70"/>
      <c r="J60" s="70"/>
      <c r="K60" s="70"/>
      <c r="L60" s="70"/>
      <c r="M60" s="70"/>
      <c r="N60" s="70"/>
      <c r="O60" s="70"/>
      <c r="P60" s="70"/>
      <c r="Q60" s="70"/>
      <c r="R60" s="70"/>
      <c r="S60" s="70"/>
    </row>
    <row r="61" spans="1:19" ht="13.15">
      <c r="A61" s="70"/>
      <c r="B61" s="70"/>
      <c r="C61" s="70"/>
      <c r="D61" s="70"/>
      <c r="E61" s="70"/>
      <c r="F61" s="70"/>
      <c r="G61" s="70"/>
      <c r="H61" s="70"/>
      <c r="I61" s="70"/>
      <c r="J61" s="70"/>
      <c r="K61" s="70"/>
      <c r="L61" s="70"/>
      <c r="M61" s="70"/>
      <c r="N61" s="70"/>
      <c r="O61" s="70"/>
      <c r="P61" s="70"/>
      <c r="Q61" s="70"/>
      <c r="R61" s="70"/>
      <c r="S61" s="70"/>
    </row>
    <row r="62" spans="1:19" ht="13.15">
      <c r="A62" s="70"/>
      <c r="B62" s="70"/>
      <c r="C62" s="70"/>
      <c r="D62" s="70"/>
      <c r="E62" s="70"/>
      <c r="F62" s="70"/>
      <c r="G62" s="70"/>
      <c r="H62" s="70"/>
      <c r="I62" s="70"/>
      <c r="J62" s="70"/>
      <c r="K62" s="70"/>
      <c r="L62" s="70"/>
      <c r="M62" s="70"/>
      <c r="N62" s="70"/>
      <c r="O62" s="70"/>
      <c r="P62" s="70"/>
      <c r="Q62" s="70"/>
      <c r="R62" s="70"/>
      <c r="S62" s="70"/>
    </row>
    <row r="63" spans="1:19" ht="13.15">
      <c r="A63" s="70"/>
      <c r="B63" s="70"/>
      <c r="C63" s="70"/>
      <c r="D63" s="70"/>
      <c r="E63" s="70"/>
      <c r="F63" s="70"/>
      <c r="G63" s="70"/>
      <c r="H63" s="70"/>
      <c r="I63" s="70"/>
      <c r="J63" s="70"/>
      <c r="K63" s="70"/>
      <c r="L63" s="70"/>
      <c r="M63" s="70"/>
      <c r="N63" s="70"/>
      <c r="O63" s="70"/>
      <c r="P63" s="70"/>
      <c r="Q63" s="70"/>
      <c r="R63" s="70"/>
      <c r="S63" s="70"/>
    </row>
    <row r="64" spans="1:19" ht="13.15">
      <c r="A64" s="70"/>
      <c r="B64" s="70"/>
      <c r="C64" s="70"/>
      <c r="D64" s="70"/>
      <c r="E64" s="70"/>
      <c r="F64" s="70"/>
      <c r="G64" s="70"/>
      <c r="H64" s="70"/>
      <c r="I64" s="70"/>
      <c r="J64" s="70"/>
      <c r="K64" s="70"/>
      <c r="L64" s="70"/>
      <c r="M64" s="70"/>
      <c r="N64" s="70"/>
      <c r="O64" s="70"/>
      <c r="P64" s="70"/>
      <c r="Q64" s="70"/>
      <c r="R64" s="70"/>
      <c r="S64" s="70"/>
    </row>
    <row r="65" spans="1:19" ht="13.15">
      <c r="A65" s="70"/>
      <c r="B65" s="70"/>
      <c r="C65" s="70"/>
      <c r="D65" s="70"/>
      <c r="E65" s="70"/>
      <c r="F65" s="70"/>
      <c r="G65" s="70"/>
      <c r="H65" s="70"/>
      <c r="I65" s="70"/>
      <c r="J65" s="70"/>
      <c r="K65" s="70"/>
      <c r="L65" s="70"/>
      <c r="M65" s="70"/>
      <c r="N65" s="70"/>
      <c r="O65" s="70"/>
      <c r="P65" s="70"/>
      <c r="Q65" s="70"/>
      <c r="R65" s="70"/>
      <c r="S65" s="70"/>
    </row>
    <row r="66" spans="1:19" ht="13.15">
      <c r="A66" s="70"/>
      <c r="B66" s="70"/>
      <c r="C66" s="70"/>
      <c r="D66" s="70"/>
      <c r="E66" s="70"/>
      <c r="F66" s="70"/>
      <c r="G66" s="70"/>
      <c r="H66" s="70"/>
      <c r="I66" s="70"/>
      <c r="J66" s="70"/>
      <c r="K66" s="70"/>
      <c r="L66" s="70"/>
      <c r="M66" s="70"/>
      <c r="N66" s="70"/>
      <c r="O66" s="70"/>
      <c r="P66" s="70"/>
      <c r="Q66" s="70"/>
      <c r="R66" s="70"/>
      <c r="S66" s="70"/>
    </row>
    <row r="67" spans="1:19" ht="13.15">
      <c r="A67" s="70"/>
      <c r="B67" s="70"/>
      <c r="C67" s="70"/>
      <c r="D67" s="70"/>
      <c r="E67" s="70"/>
      <c r="F67" s="70"/>
      <c r="G67" s="70"/>
      <c r="H67" s="70"/>
      <c r="I67" s="70"/>
      <c r="J67" s="70"/>
      <c r="K67" s="70"/>
      <c r="L67" s="70"/>
      <c r="M67" s="70"/>
      <c r="N67" s="70"/>
      <c r="O67" s="70"/>
      <c r="P67" s="70"/>
      <c r="Q67" s="70"/>
      <c r="R67" s="70"/>
      <c r="S67" s="70"/>
    </row>
    <row r="68" spans="1:19" ht="13.15">
      <c r="A68" s="70"/>
      <c r="B68" s="70"/>
      <c r="C68" s="70"/>
      <c r="D68" s="70"/>
      <c r="E68" s="70"/>
      <c r="F68" s="70"/>
      <c r="G68" s="70"/>
      <c r="H68" s="70"/>
      <c r="I68" s="70"/>
      <c r="J68" s="70"/>
      <c r="K68" s="70"/>
      <c r="L68" s="70"/>
      <c r="M68" s="70"/>
      <c r="N68" s="70"/>
      <c r="O68" s="70"/>
      <c r="P68" s="70"/>
      <c r="Q68" s="70"/>
      <c r="R68" s="70"/>
      <c r="S68" s="70"/>
    </row>
    <row r="69" spans="1:19" ht="13.15">
      <c r="A69" s="70"/>
      <c r="B69" s="70"/>
      <c r="C69" s="70"/>
      <c r="D69" s="70"/>
      <c r="E69" s="70"/>
      <c r="F69" s="70"/>
      <c r="G69" s="70"/>
      <c r="H69" s="70"/>
      <c r="I69" s="70"/>
      <c r="J69" s="70"/>
      <c r="K69" s="70"/>
      <c r="L69" s="70"/>
      <c r="M69" s="70"/>
      <c r="N69" s="70"/>
      <c r="O69" s="70"/>
      <c r="P69" s="70"/>
      <c r="Q69" s="70"/>
      <c r="R69" s="70"/>
      <c r="S69" s="70"/>
    </row>
    <row r="70" spans="1:19" ht="13.15">
      <c r="A70" s="70"/>
      <c r="B70" s="70"/>
      <c r="C70" s="70"/>
      <c r="D70" s="70"/>
      <c r="E70" s="70"/>
      <c r="F70" s="70"/>
      <c r="G70" s="70"/>
      <c r="H70" s="70"/>
      <c r="I70" s="70"/>
      <c r="J70" s="70"/>
      <c r="K70" s="70"/>
      <c r="L70" s="70"/>
      <c r="M70" s="70"/>
      <c r="N70" s="70"/>
      <c r="O70" s="70"/>
      <c r="P70" s="70"/>
      <c r="Q70" s="70"/>
      <c r="R70" s="70"/>
      <c r="S70" s="70"/>
    </row>
    <row r="71" spans="1:19" ht="13.15">
      <c r="A71" s="70"/>
      <c r="B71" s="70"/>
      <c r="C71" s="70"/>
      <c r="D71" s="70"/>
      <c r="E71" s="70"/>
      <c r="F71" s="70"/>
      <c r="G71" s="70"/>
      <c r="H71" s="70"/>
      <c r="I71" s="70"/>
      <c r="J71" s="70"/>
      <c r="K71" s="70"/>
      <c r="L71" s="70"/>
      <c r="M71" s="70"/>
      <c r="N71" s="70"/>
      <c r="O71" s="70"/>
      <c r="P71" s="70"/>
      <c r="Q71" s="70"/>
      <c r="R71" s="70"/>
      <c r="S71" s="70"/>
    </row>
    <row r="72" spans="1:19" ht="13.15">
      <c r="A72" s="70"/>
      <c r="B72" s="70"/>
      <c r="C72" s="70"/>
      <c r="D72" s="70"/>
      <c r="E72" s="70"/>
      <c r="F72" s="70"/>
      <c r="G72" s="70"/>
      <c r="H72" s="70"/>
      <c r="I72" s="70"/>
      <c r="J72" s="70"/>
      <c r="K72" s="70"/>
      <c r="L72" s="70"/>
      <c r="M72" s="70"/>
      <c r="N72" s="70"/>
      <c r="O72" s="70"/>
      <c r="P72" s="70"/>
      <c r="Q72" s="70"/>
      <c r="R72" s="70"/>
      <c r="S72" s="70"/>
    </row>
    <row r="73" spans="1:19" ht="13.15">
      <c r="A73" s="70"/>
      <c r="B73" s="70"/>
      <c r="C73" s="70"/>
      <c r="D73" s="70"/>
      <c r="E73" s="70"/>
      <c r="F73" s="70"/>
      <c r="G73" s="70"/>
      <c r="H73" s="70"/>
      <c r="I73" s="70"/>
      <c r="J73" s="70"/>
      <c r="K73" s="70"/>
      <c r="L73" s="70"/>
      <c r="M73" s="70"/>
      <c r="N73" s="70"/>
      <c r="O73" s="70"/>
      <c r="P73" s="70"/>
      <c r="Q73" s="70"/>
      <c r="R73" s="70"/>
      <c r="S73" s="70"/>
    </row>
    <row r="74" spans="1:19" ht="13.15">
      <c r="A74" s="70"/>
      <c r="B74" s="70"/>
      <c r="C74" s="70"/>
      <c r="D74" s="70"/>
      <c r="E74" s="70"/>
      <c r="F74" s="70"/>
      <c r="G74" s="70"/>
      <c r="H74" s="70"/>
      <c r="I74" s="70"/>
      <c r="J74" s="70"/>
      <c r="K74" s="70"/>
      <c r="L74" s="70"/>
      <c r="M74" s="70"/>
      <c r="N74" s="70"/>
      <c r="O74" s="70"/>
      <c r="P74" s="70"/>
      <c r="Q74" s="70"/>
      <c r="R74" s="70"/>
      <c r="S74" s="70"/>
    </row>
    <row r="75" spans="1:19" ht="13.15">
      <c r="A75" s="70"/>
      <c r="B75" s="70"/>
      <c r="C75" s="70"/>
      <c r="D75" s="70"/>
      <c r="E75" s="70"/>
      <c r="F75" s="70"/>
      <c r="G75" s="70"/>
      <c r="H75" s="70"/>
      <c r="I75" s="70"/>
      <c r="J75" s="70"/>
      <c r="K75" s="70"/>
      <c r="L75" s="70"/>
      <c r="M75" s="70"/>
      <c r="N75" s="70"/>
      <c r="O75" s="70"/>
      <c r="P75" s="70"/>
      <c r="Q75" s="70"/>
      <c r="R75" s="70"/>
      <c r="S75" s="7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schemas.microsoft.com/office/2006/metadata/properties"/>
    <ds:schemaRef ds:uri="http://www.w3.org/XML/1998/namespace"/>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 ds:uri="fc2a33e0-7a80-4a39-9f2e-b88fda38c9ea"/>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72</vt:i4>
      </vt:variant>
    </vt:vector>
  </HeadingPairs>
  <TitlesOfParts>
    <vt:vector size="145" baseType="lpstr">
      <vt:lpstr>Översättning</vt: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7.3</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_56.9</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'7.3'!Utskriftsområde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Jennie Belking</cp:lastModifiedBy>
  <cp:lastPrinted>2016-02-16T14:49:31Z</cp:lastPrinted>
  <dcterms:created xsi:type="dcterms:W3CDTF">2011-10-19T08:07:13Z</dcterms:created>
  <dcterms:modified xsi:type="dcterms:W3CDTF">2017-10-17T12:23:56Z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